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pivotTables/pivotTable4.xml" ContentType="application/vnd.openxmlformats-officedocument.spreadsheetml.pivotTable+xml"/>
  <Override PartName="/xl/tables/table2.xml" ContentType="application/vnd.openxmlformats-officedocument.spreadsheetml.table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pivotTables/pivotTable5.xml" ContentType="application/vnd.openxmlformats-officedocument.spreadsheetml.pivotTable+xml"/>
  <Override PartName="/xl/drawings/drawing10.xml" ContentType="application/vnd.openxmlformats-officedocument.drawing+xml"/>
  <Override PartName="/xl/tables/table3.xml" ContentType="application/vnd.openxmlformats-officedocument.spreadsheetml.tab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ila.Rodrigues\Desktop\orçamento 2023\"/>
    </mc:Choice>
  </mc:AlternateContent>
  <bookViews>
    <workbookView xWindow="0" yWindow="0" windowWidth="24000" windowHeight="9630" tabRatio="842" firstSheet="1" activeTab="4"/>
  </bookViews>
  <sheets>
    <sheet name="anexo planofinanceiro" sheetId="11" r:id="rId1"/>
    <sheet name="Plano_financeiro2021" sheetId="10" r:id="rId2"/>
    <sheet name="MapaI" sheetId="2" r:id="rId3"/>
    <sheet name="MapaII" sheetId="3" r:id="rId4"/>
    <sheet name="MapaIII" sheetId="4" r:id="rId5"/>
    <sheet name="MapaVIII" sheetId="6" r:id="rId6"/>
    <sheet name="MapaVII" sheetId="5" r:id="rId7"/>
    <sheet name="MAPA IX" sheetId="7" r:id="rId8"/>
    <sheet name="MapaX" sheetId="8" r:id="rId9"/>
    <sheet name="Sheet1" sheetId="14" r:id="rId10"/>
    <sheet name="MapaXI" sheetId="9" r:id="rId11"/>
    <sheet name="Sheet2" sheetId="13" state="hidden" r:id="rId12"/>
    <sheet name="inv rubricas" sheetId="1" state="hidden" r:id="rId13"/>
  </sheets>
  <definedNames>
    <definedName name="_xlnm._FilterDatabase" localSheetId="2" hidden="1">MapaI!$B$13:$F$134</definedName>
    <definedName name="_xlnm._FilterDatabase" localSheetId="4" hidden="1">MapaIII!$A$10:$G$83</definedName>
    <definedName name="_xlnm._FilterDatabase" localSheetId="8" hidden="1">MapaX!$A$15:$I$122</definedName>
    <definedName name="_xlnm._FilterDatabase" localSheetId="9" hidden="1">Sheet1!$G$2:$G$57</definedName>
    <definedName name="_xlnm._FilterDatabase" localSheetId="11" hidden="1">Sheet2!$G$60:$G$103</definedName>
    <definedName name="_xlnm.Print_Area" localSheetId="7">'MAPA IX'!$A$1:$G$90</definedName>
    <definedName name="_xlnm.Print_Area" localSheetId="2">MapaI!$A$1:$F$380</definedName>
    <definedName name="_xlnm.Print_Area" localSheetId="4">MapaIII!$A$1:$IV$91</definedName>
    <definedName name="_xlnm.Print_Area" localSheetId="8">MapaX!$A$1:$I$130</definedName>
    <definedName name="_xlnm.Print_Area" localSheetId="10">MapaXI!$A$2:$L$79</definedName>
    <definedName name="_xlnm.Print_Titles" localSheetId="2">MapaI!$10:$10</definedName>
  </definedNames>
  <calcPr calcId="162913"/>
  <pivotCaches>
    <pivotCache cacheId="0" r:id="rId14"/>
    <pivotCache cacheId="1" r:id="rId15"/>
    <pivotCache cacheId="2" r:id="rId16"/>
    <pivotCache cacheId="3" r:id="rId1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C57" i="13"/>
  <c r="A57" i="13"/>
  <c r="C56" i="13"/>
  <c r="A56" i="13"/>
  <c r="C55" i="13"/>
  <c r="A55" i="13"/>
  <c r="C54" i="13"/>
  <c r="A54" i="13"/>
  <c r="C53" i="13"/>
  <c r="A53" i="13"/>
  <c r="C52" i="13"/>
  <c r="A52" i="13"/>
  <c r="C51" i="13"/>
  <c r="A51" i="13"/>
  <c r="C50" i="13"/>
  <c r="A50" i="13"/>
  <c r="C49" i="13"/>
  <c r="A49" i="13"/>
  <c r="C48" i="13"/>
  <c r="A48" i="13"/>
  <c r="C47" i="13"/>
  <c r="A47" i="13"/>
  <c r="C46" i="13"/>
  <c r="A46" i="13"/>
  <c r="C45" i="13"/>
  <c r="A45" i="13"/>
  <c r="C44" i="13"/>
  <c r="A44" i="13"/>
  <c r="C43" i="13"/>
  <c r="A43" i="13"/>
  <c r="C42" i="13"/>
  <c r="A42" i="13"/>
  <c r="C41" i="13"/>
  <c r="A41" i="13"/>
  <c r="C40" i="13"/>
  <c r="A40" i="13"/>
  <c r="C39" i="13"/>
  <c r="A39" i="13"/>
  <c r="C38" i="13"/>
  <c r="A38" i="13"/>
  <c r="C37" i="13"/>
  <c r="A37" i="13"/>
  <c r="C36" i="13"/>
  <c r="A36" i="13"/>
  <c r="C35" i="13"/>
  <c r="A35" i="13"/>
  <c r="C34" i="13"/>
  <c r="A34" i="13"/>
  <c r="C33" i="13"/>
  <c r="A33" i="13"/>
  <c r="C32" i="13"/>
  <c r="A32" i="13"/>
  <c r="C31" i="13"/>
  <c r="A31" i="13"/>
  <c r="C30" i="13"/>
  <c r="A30" i="13"/>
  <c r="C29" i="13"/>
  <c r="A29" i="13"/>
  <c r="C28" i="13"/>
  <c r="A28" i="13"/>
  <c r="C27" i="13"/>
  <c r="A27" i="13"/>
  <c r="C26" i="13"/>
  <c r="A26" i="13"/>
  <c r="C25" i="13"/>
  <c r="A25" i="13"/>
  <c r="C24" i="13"/>
  <c r="A24" i="13"/>
  <c r="C23" i="13"/>
  <c r="A23" i="13"/>
  <c r="C22" i="13"/>
  <c r="A22" i="13"/>
  <c r="C21" i="13"/>
  <c r="A21" i="13"/>
  <c r="C20" i="13"/>
  <c r="A20" i="13"/>
  <c r="C19" i="13"/>
  <c r="A19" i="13"/>
  <c r="C18" i="13"/>
  <c r="A18" i="13"/>
  <c r="C17" i="13"/>
  <c r="A17" i="13"/>
  <c r="C16" i="13"/>
  <c r="A16" i="13"/>
  <c r="C15" i="13"/>
  <c r="A15" i="13"/>
  <c r="C14" i="13"/>
  <c r="A14" i="13"/>
  <c r="C13" i="13"/>
  <c r="A13" i="13"/>
  <c r="C12" i="13"/>
  <c r="A12" i="13"/>
  <c r="C11" i="13"/>
  <c r="A11" i="13"/>
  <c r="C10" i="13"/>
  <c r="A10" i="13"/>
  <c r="C9" i="13"/>
  <c r="A9" i="13"/>
  <c r="C8" i="13"/>
  <c r="A8" i="13"/>
  <c r="C7" i="13"/>
  <c r="A7" i="13"/>
  <c r="C6" i="13"/>
  <c r="A6" i="13"/>
  <c r="C5" i="13"/>
  <c r="A5" i="13"/>
  <c r="C4" i="13"/>
  <c r="A4" i="13"/>
  <c r="C3" i="13"/>
  <c r="A3" i="13"/>
  <c r="C2" i="13"/>
  <c r="A2" i="13"/>
  <c r="C1" i="13"/>
  <c r="A1" i="13"/>
  <c r="N66" i="9"/>
  <c r="B63" i="9"/>
  <c r="G56" i="9"/>
  <c r="G40" i="9"/>
  <c r="G38" i="9" s="1"/>
  <c r="F28" i="9"/>
  <c r="E26" i="9"/>
  <c r="E21" i="9"/>
  <c r="G21" i="9" s="1"/>
  <c r="L20" i="9"/>
  <c r="D17" i="9"/>
  <c r="E16" i="9"/>
  <c r="E13" i="9"/>
  <c r="E11" i="9"/>
  <c r="D10" i="9"/>
  <c r="G57" i="14"/>
  <c r="D57" i="14"/>
  <c r="G56" i="14"/>
  <c r="D56" i="14"/>
  <c r="G55" i="14"/>
  <c r="G54" i="14"/>
  <c r="G53" i="14"/>
  <c r="D53" i="14"/>
  <c r="G52" i="14"/>
  <c r="D52" i="14"/>
  <c r="G51" i="14"/>
  <c r="D51" i="14"/>
  <c r="G50" i="14"/>
  <c r="D50" i="14"/>
  <c r="G49" i="14"/>
  <c r="G48" i="14"/>
  <c r="D48" i="14"/>
  <c r="G47" i="14"/>
  <c r="D47" i="14"/>
  <c r="G46" i="14"/>
  <c r="D46" i="14"/>
  <c r="G45" i="14"/>
  <c r="G44" i="14"/>
  <c r="D44" i="14"/>
  <c r="G43" i="14"/>
  <c r="D43" i="14"/>
  <c r="G42" i="14"/>
  <c r="D42" i="14"/>
  <c r="G41" i="14"/>
  <c r="D41" i="14"/>
  <c r="G40" i="14"/>
  <c r="D40" i="14"/>
  <c r="G39" i="14"/>
  <c r="D39" i="14"/>
  <c r="G38" i="14"/>
  <c r="D38" i="14"/>
  <c r="G37" i="14"/>
  <c r="D37" i="14"/>
  <c r="G36" i="14"/>
  <c r="D36" i="14"/>
  <c r="G35" i="14"/>
  <c r="G34" i="14"/>
  <c r="D34" i="14"/>
  <c r="G33" i="14"/>
  <c r="D33" i="14"/>
  <c r="G32" i="14"/>
  <c r="D32" i="14"/>
  <c r="G31" i="14"/>
  <c r="D31" i="14"/>
  <c r="G30" i="14"/>
  <c r="D30" i="14"/>
  <c r="G29" i="14"/>
  <c r="D29" i="14"/>
  <c r="G28" i="14"/>
  <c r="D28" i="14"/>
  <c r="G27" i="14"/>
  <c r="D27" i="14"/>
  <c r="G26" i="14"/>
  <c r="D26" i="14"/>
  <c r="G25" i="14"/>
  <c r="D25" i="14"/>
  <c r="G24" i="14"/>
  <c r="D24" i="14"/>
  <c r="G23" i="14"/>
  <c r="D23" i="14"/>
  <c r="G22" i="14"/>
  <c r="D22" i="14"/>
  <c r="G21" i="14"/>
  <c r="D21" i="14"/>
  <c r="G20" i="14"/>
  <c r="D20" i="14"/>
  <c r="G19" i="14"/>
  <c r="D19" i="14"/>
  <c r="G18" i="14"/>
  <c r="D18" i="14"/>
  <c r="G17" i="14"/>
  <c r="D17" i="14"/>
  <c r="G16" i="14"/>
  <c r="D16" i="14"/>
  <c r="G15" i="14"/>
  <c r="D15" i="14"/>
  <c r="G14" i="14"/>
  <c r="D14" i="14"/>
  <c r="G13" i="14"/>
  <c r="G12" i="14"/>
  <c r="D12" i="14"/>
  <c r="G11" i="14"/>
  <c r="D11" i="14"/>
  <c r="G10" i="14"/>
  <c r="D10" i="14"/>
  <c r="G9" i="14"/>
  <c r="D9" i="14"/>
  <c r="G8" i="14"/>
  <c r="D8" i="14"/>
  <c r="G7" i="14"/>
  <c r="D7" i="14"/>
  <c r="G6" i="14"/>
  <c r="D6" i="14"/>
  <c r="G5" i="14"/>
  <c r="G4" i="14"/>
  <c r="D4" i="14"/>
  <c r="G3" i="14"/>
  <c r="D3" i="14"/>
  <c r="G2" i="14"/>
  <c r="D2" i="14"/>
  <c r="J122" i="8"/>
  <c r="I122" i="8"/>
  <c r="I121" i="8"/>
  <c r="H121" i="8"/>
  <c r="G121" i="8"/>
  <c r="F121" i="8"/>
  <c r="E121" i="8"/>
  <c r="H120" i="8"/>
  <c r="G120" i="8"/>
  <c r="F120" i="8"/>
  <c r="E120" i="8"/>
  <c r="J119" i="8"/>
  <c r="I119" i="8"/>
  <c r="H118" i="8"/>
  <c r="G118" i="8"/>
  <c r="G117" i="8" s="1"/>
  <c r="G116" i="8" s="1"/>
  <c r="F118" i="8"/>
  <c r="F117" i="8" s="1"/>
  <c r="E118" i="8"/>
  <c r="H117" i="8"/>
  <c r="H116" i="8"/>
  <c r="H98" i="8" s="1"/>
  <c r="J115" i="8"/>
  <c r="I115" i="8"/>
  <c r="J114" i="8"/>
  <c r="I114" i="8"/>
  <c r="J113" i="8"/>
  <c r="I113" i="8"/>
  <c r="J112" i="8"/>
  <c r="I112" i="8"/>
  <c r="J111" i="8"/>
  <c r="I111" i="8"/>
  <c r="J110" i="8"/>
  <c r="I110" i="8"/>
  <c r="J109" i="8"/>
  <c r="I109" i="8"/>
  <c r="J108" i="8"/>
  <c r="I108" i="8"/>
  <c r="J107" i="8"/>
  <c r="I107" i="8"/>
  <c r="J106" i="8"/>
  <c r="I106" i="8"/>
  <c r="J105" i="8"/>
  <c r="I105" i="8"/>
  <c r="J104" i="8"/>
  <c r="I104" i="8"/>
  <c r="J103" i="8"/>
  <c r="I103" i="8"/>
  <c r="J102" i="8"/>
  <c r="I102" i="8"/>
  <c r="J101" i="8"/>
  <c r="I101" i="8"/>
  <c r="J100" i="8"/>
  <c r="I100" i="8"/>
  <c r="H99" i="8"/>
  <c r="G99" i="8"/>
  <c r="F99" i="8"/>
  <c r="F98" i="8" s="1"/>
  <c r="E99" i="8"/>
  <c r="G98" i="8"/>
  <c r="J97" i="8"/>
  <c r="I97" i="8"/>
  <c r="I96" i="8"/>
  <c r="H96" i="8"/>
  <c r="H95" i="8" s="1"/>
  <c r="G96" i="8"/>
  <c r="F96" i="8"/>
  <c r="E96" i="8"/>
  <c r="G95" i="8"/>
  <c r="F95" i="8"/>
  <c r="E95" i="8"/>
  <c r="J94" i="8"/>
  <c r="I94" i="8"/>
  <c r="J93" i="8"/>
  <c r="I93" i="8"/>
  <c r="J92" i="8"/>
  <c r="I92" i="8"/>
  <c r="H91" i="8"/>
  <c r="H90" i="8" s="1"/>
  <c r="G91" i="8"/>
  <c r="F91" i="8"/>
  <c r="I91" i="8" s="1"/>
  <c r="E91" i="8"/>
  <c r="G90" i="8"/>
  <c r="F90" i="8"/>
  <c r="E90" i="8"/>
  <c r="J89" i="8"/>
  <c r="I89" i="8"/>
  <c r="J88" i="8"/>
  <c r="I88" i="8"/>
  <c r="J87" i="8"/>
  <c r="H87" i="8"/>
  <c r="H86" i="8" s="1"/>
  <c r="G87" i="8"/>
  <c r="G86" i="8" s="1"/>
  <c r="G71" i="8" s="1"/>
  <c r="F87" i="8"/>
  <c r="E87" i="8"/>
  <c r="E86" i="8" s="1"/>
  <c r="I86" i="8" s="1"/>
  <c r="F86" i="8"/>
  <c r="J85" i="8"/>
  <c r="I85" i="8"/>
  <c r="J84" i="8"/>
  <c r="I84" i="8"/>
  <c r="J83" i="8"/>
  <c r="I83" i="8"/>
  <c r="J82" i="8"/>
  <c r="I82" i="8"/>
  <c r="J81" i="8"/>
  <c r="I81" i="8"/>
  <c r="J80" i="8"/>
  <c r="I80" i="8"/>
  <c r="H79" i="8"/>
  <c r="G79" i="8"/>
  <c r="G78" i="8" s="1"/>
  <c r="F79" i="8"/>
  <c r="F78" i="8" s="1"/>
  <c r="E79" i="8"/>
  <c r="H78" i="8"/>
  <c r="J77" i="8"/>
  <c r="I77" i="8"/>
  <c r="J76" i="8"/>
  <c r="I76" i="8"/>
  <c r="J75" i="8"/>
  <c r="I75" i="8"/>
  <c r="J74" i="8"/>
  <c r="I74" i="8"/>
  <c r="H73" i="8"/>
  <c r="H72" i="8" s="1"/>
  <c r="H71" i="8" s="1"/>
  <c r="G73" i="8"/>
  <c r="G72" i="8" s="1"/>
  <c r="F73" i="8"/>
  <c r="E73" i="8"/>
  <c r="E72" i="8" s="1"/>
  <c r="F72" i="8"/>
  <c r="J70" i="8"/>
  <c r="I70" i="8"/>
  <c r="I69" i="8"/>
  <c r="H69" i="8"/>
  <c r="H68" i="8" s="1"/>
  <c r="G69" i="8"/>
  <c r="F69" i="8"/>
  <c r="E69" i="8"/>
  <c r="G68" i="8"/>
  <c r="F68" i="8"/>
  <c r="E68" i="8"/>
  <c r="J67" i="8"/>
  <c r="I67" i="8"/>
  <c r="H66" i="8"/>
  <c r="G66" i="8"/>
  <c r="F66" i="8"/>
  <c r="F65" i="8" s="1"/>
  <c r="E66" i="8"/>
  <c r="H65" i="8"/>
  <c r="G65" i="8"/>
  <c r="J64" i="8"/>
  <c r="I64" i="8"/>
  <c r="J63" i="8"/>
  <c r="I63" i="8"/>
  <c r="H62" i="8"/>
  <c r="I62" i="8" s="1"/>
  <c r="G62" i="8"/>
  <c r="F62" i="8"/>
  <c r="E62" i="8"/>
  <c r="G61" i="8"/>
  <c r="F61" i="8"/>
  <c r="E61" i="8"/>
  <c r="J60" i="8"/>
  <c r="I60" i="8"/>
  <c r="H59" i="8"/>
  <c r="G59" i="8"/>
  <c r="G58" i="8" s="1"/>
  <c r="F59" i="8"/>
  <c r="E59" i="8"/>
  <c r="J57" i="8"/>
  <c r="I57" i="8"/>
  <c r="J56" i="8"/>
  <c r="I56" i="8"/>
  <c r="H55" i="8"/>
  <c r="G55" i="8"/>
  <c r="F55" i="8"/>
  <c r="E55" i="8"/>
  <c r="G54" i="8"/>
  <c r="F54" i="8"/>
  <c r="F32" i="8" s="1"/>
  <c r="I53" i="8"/>
  <c r="J52" i="8"/>
  <c r="I52" i="8"/>
  <c r="N51" i="8"/>
  <c r="H51" i="8"/>
  <c r="G51" i="8"/>
  <c r="G50" i="8" s="1"/>
  <c r="F51" i="8"/>
  <c r="E51" i="8"/>
  <c r="H50" i="8"/>
  <c r="F50" i="8"/>
  <c r="E50" i="8"/>
  <c r="J49" i="8"/>
  <c r="I49" i="8"/>
  <c r="J48" i="8"/>
  <c r="I48" i="8"/>
  <c r="H47" i="8"/>
  <c r="H46" i="8" s="1"/>
  <c r="G47" i="8"/>
  <c r="G46" i="8" s="1"/>
  <c r="F47" i="8"/>
  <c r="E47" i="8"/>
  <c r="F46" i="8"/>
  <c r="E46" i="8"/>
  <c r="J45" i="8"/>
  <c r="I45" i="8"/>
  <c r="J44" i="8"/>
  <c r="I44" i="8"/>
  <c r="J43" i="8"/>
  <c r="I43" i="8"/>
  <c r="H42" i="8"/>
  <c r="H41" i="8" s="1"/>
  <c r="G42" i="8"/>
  <c r="G41" i="8" s="1"/>
  <c r="F42" i="8"/>
  <c r="E42" i="8"/>
  <c r="E41" i="8" s="1"/>
  <c r="F41" i="8"/>
  <c r="J40" i="8"/>
  <c r="I40" i="8"/>
  <c r="I39" i="8"/>
  <c r="H39" i="8"/>
  <c r="G39" i="8"/>
  <c r="F39" i="8"/>
  <c r="E39" i="8"/>
  <c r="J38" i="8"/>
  <c r="I38" i="8"/>
  <c r="H37" i="8"/>
  <c r="I37" i="8" s="1"/>
  <c r="G37" i="8"/>
  <c r="F37" i="8"/>
  <c r="E37" i="8"/>
  <c r="J36" i="8"/>
  <c r="I36" i="8"/>
  <c r="I34" i="8" s="1"/>
  <c r="J35" i="8"/>
  <c r="I35" i="8"/>
  <c r="H34" i="8"/>
  <c r="G34" i="8"/>
  <c r="F34" i="8"/>
  <c r="E34" i="8"/>
  <c r="E33" i="8" s="1"/>
  <c r="I33" i="8"/>
  <c r="H33" i="8"/>
  <c r="G33" i="8"/>
  <c r="F33" i="8"/>
  <c r="J31" i="8"/>
  <c r="I31" i="8"/>
  <c r="H30" i="8"/>
  <c r="G30" i="8"/>
  <c r="F30" i="8"/>
  <c r="F29" i="8" s="1"/>
  <c r="E30" i="8"/>
  <c r="H29" i="8"/>
  <c r="G29" i="8"/>
  <c r="I28" i="8"/>
  <c r="J27" i="8"/>
  <c r="I27" i="8"/>
  <c r="H26" i="8"/>
  <c r="G26" i="8"/>
  <c r="G23" i="8" s="1"/>
  <c r="G22" i="8" s="1"/>
  <c r="F26" i="8"/>
  <c r="E26" i="8"/>
  <c r="J25" i="8"/>
  <c r="I25" i="8"/>
  <c r="H24" i="8"/>
  <c r="G24" i="8"/>
  <c r="F24" i="8"/>
  <c r="I24" i="8" s="1"/>
  <c r="E24" i="8"/>
  <c r="F23" i="8"/>
  <c r="F22" i="8" s="1"/>
  <c r="E23" i="8"/>
  <c r="J21" i="8"/>
  <c r="I21" i="8"/>
  <c r="H20" i="8"/>
  <c r="H19" i="8" s="1"/>
  <c r="H15" i="8" s="1"/>
  <c r="G20" i="8"/>
  <c r="G19" i="8" s="1"/>
  <c r="G15" i="8" s="1"/>
  <c r="F20" i="8"/>
  <c r="E20" i="8"/>
  <c r="F19" i="8"/>
  <c r="F15" i="8" s="1"/>
  <c r="E19" i="8"/>
  <c r="J18" i="8"/>
  <c r="I18" i="8"/>
  <c r="H17" i="8"/>
  <c r="G17" i="8"/>
  <c r="G16" i="8" s="1"/>
  <c r="F17" i="8"/>
  <c r="F16" i="8" s="1"/>
  <c r="E17" i="8"/>
  <c r="H16" i="8"/>
  <c r="J15" i="8"/>
  <c r="J7" i="8"/>
  <c r="F81" i="7"/>
  <c r="E81" i="7"/>
  <c r="E80" i="7"/>
  <c r="F80" i="7" s="1"/>
  <c r="F79" i="7"/>
  <c r="E77" i="7"/>
  <c r="F77" i="7" s="1"/>
  <c r="E76" i="7"/>
  <c r="F76" i="7" s="1"/>
  <c r="F74" i="7"/>
  <c r="F72" i="7"/>
  <c r="E71" i="7"/>
  <c r="F71" i="7" s="1"/>
  <c r="F70" i="7"/>
  <c r="F67" i="7"/>
  <c r="E67" i="7"/>
  <c r="F65" i="7"/>
  <c r="F62" i="7"/>
  <c r="E62" i="7"/>
  <c r="E59" i="7"/>
  <c r="F59" i="7" s="1"/>
  <c r="E58" i="7"/>
  <c r="F58" i="7" s="1"/>
  <c r="F57" i="7"/>
  <c r="E56" i="7"/>
  <c r="F56" i="7" s="1"/>
  <c r="F53" i="7"/>
  <c r="E52" i="7"/>
  <c r="F52" i="7" s="1"/>
  <c r="E51" i="7"/>
  <c r="F51" i="7" s="1"/>
  <c r="E48" i="7"/>
  <c r="F48" i="7" s="1"/>
  <c r="E47" i="7"/>
  <c r="F47" i="7" s="1"/>
  <c r="E46" i="7"/>
  <c r="F46" i="7" s="1"/>
  <c r="E44" i="7"/>
  <c r="F44" i="7" s="1"/>
  <c r="E42" i="7"/>
  <c r="F42" i="7" s="1"/>
  <c r="F41" i="7"/>
  <c r="F39" i="7"/>
  <c r="F38" i="7"/>
  <c r="E38" i="7"/>
  <c r="E35" i="7"/>
  <c r="F35" i="7" s="1"/>
  <c r="F34" i="7"/>
  <c r="E34" i="7"/>
  <c r="F33" i="7"/>
  <c r="E33" i="7"/>
  <c r="F32" i="7"/>
  <c r="E31" i="7"/>
  <c r="F31" i="7" s="1"/>
  <c r="F28" i="7"/>
  <c r="E25" i="7"/>
  <c r="F25" i="7" s="1"/>
  <c r="F24" i="7"/>
  <c r="E23" i="7"/>
  <c r="F23" i="7" s="1"/>
  <c r="F22" i="7"/>
  <c r="F21" i="7"/>
  <c r="E21" i="7"/>
  <c r="F20" i="7"/>
  <c r="E20" i="7"/>
  <c r="F19" i="7"/>
  <c r="F18" i="7"/>
  <c r="D17" i="7"/>
  <c r="F17" i="7" s="1"/>
  <c r="C24" i="5"/>
  <c r="D37" i="6"/>
  <c r="E37" i="6" s="1"/>
  <c r="E16" i="6"/>
  <c r="E15" i="6"/>
  <c r="E13" i="6"/>
  <c r="E12" i="6"/>
  <c r="N84" i="4"/>
  <c r="E82" i="4"/>
  <c r="N82" i="4" s="1"/>
  <c r="N81" i="4"/>
  <c r="E81" i="4"/>
  <c r="F81" i="4" s="1"/>
  <c r="N80" i="4"/>
  <c r="F80" i="4"/>
  <c r="E80" i="4"/>
  <c r="E79" i="4"/>
  <c r="N79" i="4" s="1"/>
  <c r="D79" i="4"/>
  <c r="N78" i="4"/>
  <c r="E78" i="4"/>
  <c r="E78" i="7" s="1"/>
  <c r="F78" i="7" s="1"/>
  <c r="E77" i="4"/>
  <c r="F77" i="4" s="1"/>
  <c r="F76" i="4"/>
  <c r="E76" i="4"/>
  <c r="N76" i="4" s="1"/>
  <c r="N75" i="4"/>
  <c r="F75" i="4"/>
  <c r="E75" i="4"/>
  <c r="D74" i="4"/>
  <c r="E73" i="4"/>
  <c r="N73" i="4" s="1"/>
  <c r="D72" i="4"/>
  <c r="N71" i="4"/>
  <c r="F71" i="4"/>
  <c r="E71" i="4"/>
  <c r="E70" i="4" s="1"/>
  <c r="N70" i="4"/>
  <c r="F70" i="4"/>
  <c r="D70" i="4"/>
  <c r="E69" i="4"/>
  <c r="N68" i="4"/>
  <c r="F68" i="4"/>
  <c r="E68" i="4"/>
  <c r="E68" i="7" s="1"/>
  <c r="F68" i="7" s="1"/>
  <c r="E67" i="4"/>
  <c r="N67" i="4" s="1"/>
  <c r="N66" i="4"/>
  <c r="F66" i="4"/>
  <c r="E66" i="4"/>
  <c r="E66" i="7" s="1"/>
  <c r="F66" i="7" s="1"/>
  <c r="N65" i="4"/>
  <c r="F65" i="4"/>
  <c r="E65" i="4"/>
  <c r="E65" i="7" s="1"/>
  <c r="E64" i="4"/>
  <c r="E63" i="4"/>
  <c r="E63" i="7" s="1"/>
  <c r="F63" i="7" s="1"/>
  <c r="N62" i="4"/>
  <c r="E62" i="4"/>
  <c r="F62" i="4" s="1"/>
  <c r="E61" i="4"/>
  <c r="E60" i="4"/>
  <c r="E60" i="7" s="1"/>
  <c r="F60" i="7" s="1"/>
  <c r="E59" i="4"/>
  <c r="N59" i="4" s="1"/>
  <c r="F58" i="4"/>
  <c r="E58" i="4"/>
  <c r="N58" i="4" s="1"/>
  <c r="F57" i="4"/>
  <c r="E57" i="4"/>
  <c r="E57" i="7" s="1"/>
  <c r="E56" i="4"/>
  <c r="F56" i="4" s="1"/>
  <c r="E55" i="4"/>
  <c r="F55" i="4" s="1"/>
  <c r="F54" i="4"/>
  <c r="E54" i="4"/>
  <c r="E54" i="7" s="1"/>
  <c r="F54" i="7" s="1"/>
  <c r="F53" i="4"/>
  <c r="E53" i="4"/>
  <c r="E53" i="7" s="1"/>
  <c r="E52" i="4"/>
  <c r="F52" i="4" s="1"/>
  <c r="E51" i="4"/>
  <c r="F51" i="4" s="1"/>
  <c r="E50" i="4"/>
  <c r="E50" i="7" s="1"/>
  <c r="F50" i="7" s="1"/>
  <c r="F49" i="4"/>
  <c r="E49" i="4"/>
  <c r="E49" i="7" s="1"/>
  <c r="F49" i="7" s="1"/>
  <c r="E48" i="4"/>
  <c r="F48" i="4" s="1"/>
  <c r="E47" i="4"/>
  <c r="F47" i="4" s="1"/>
  <c r="F46" i="4"/>
  <c r="E46" i="4"/>
  <c r="E45" i="4"/>
  <c r="E45" i="7" s="1"/>
  <c r="F45" i="7" s="1"/>
  <c r="E44" i="4"/>
  <c r="F44" i="4" s="1"/>
  <c r="E43" i="4"/>
  <c r="F43" i="4" s="1"/>
  <c r="F42" i="4"/>
  <c r="E42" i="4"/>
  <c r="N41" i="4"/>
  <c r="F41" i="4"/>
  <c r="E41" i="4"/>
  <c r="E41" i="7" s="1"/>
  <c r="E40" i="4"/>
  <c r="D39" i="4"/>
  <c r="E38" i="4"/>
  <c r="N38" i="4" s="1"/>
  <c r="E37" i="4"/>
  <c r="N37" i="4" s="1"/>
  <c r="N36" i="4"/>
  <c r="F36" i="4"/>
  <c r="E36" i="4"/>
  <c r="E36" i="7" s="1"/>
  <c r="F36" i="7" s="1"/>
  <c r="E35" i="4"/>
  <c r="N34" i="4"/>
  <c r="F34" i="4"/>
  <c r="E34" i="4"/>
  <c r="N33" i="4"/>
  <c r="E33" i="4"/>
  <c r="F33" i="4" s="1"/>
  <c r="E32" i="4"/>
  <c r="N32" i="4" s="1"/>
  <c r="D32" i="4"/>
  <c r="F32" i="4" s="1"/>
  <c r="N31" i="4"/>
  <c r="F31" i="4"/>
  <c r="E31" i="4"/>
  <c r="E30" i="4"/>
  <c r="E29" i="4"/>
  <c r="E29" i="7" s="1"/>
  <c r="F29" i="7" s="1"/>
  <c r="N28" i="4"/>
  <c r="E28" i="4"/>
  <c r="E28" i="7" s="1"/>
  <c r="F27" i="4"/>
  <c r="E27" i="4"/>
  <c r="N26" i="4"/>
  <c r="F26" i="4"/>
  <c r="E26" i="4"/>
  <c r="E26" i="7" s="1"/>
  <c r="E25" i="4"/>
  <c r="N25" i="4" s="1"/>
  <c r="N24" i="4"/>
  <c r="F24" i="4"/>
  <c r="E24" i="4"/>
  <c r="E24" i="7" s="1"/>
  <c r="N23" i="4"/>
  <c r="F23" i="4"/>
  <c r="E23" i="4"/>
  <c r="D22" i="4"/>
  <c r="N21" i="4"/>
  <c r="F21" i="4"/>
  <c r="E21" i="4"/>
  <c r="E20" i="4"/>
  <c r="N20" i="4" s="1"/>
  <c r="E19" i="4"/>
  <c r="F19" i="4" s="1"/>
  <c r="D19" i="4"/>
  <c r="F18" i="4"/>
  <c r="E11" i="4"/>
  <c r="E10" i="4"/>
  <c r="Z171" i="3"/>
  <c r="Z157" i="3" s="1"/>
  <c r="Z156" i="3" s="1"/>
  <c r="Y171" i="3"/>
  <c r="Q171" i="3"/>
  <c r="O171" i="3"/>
  <c r="N171" i="3"/>
  <c r="M171" i="3"/>
  <c r="H171" i="3"/>
  <c r="G171" i="3"/>
  <c r="F171" i="3"/>
  <c r="E171" i="3"/>
  <c r="D171" i="3"/>
  <c r="C171" i="3"/>
  <c r="AA170" i="3"/>
  <c r="Z169" i="3"/>
  <c r="Y169" i="3"/>
  <c r="Q169" i="3"/>
  <c r="O169" i="3"/>
  <c r="N169" i="3"/>
  <c r="M169" i="3"/>
  <c r="K169" i="3"/>
  <c r="H169" i="3"/>
  <c r="G169" i="3"/>
  <c r="F169" i="3"/>
  <c r="E169" i="3"/>
  <c r="D169" i="3"/>
  <c r="C169" i="3"/>
  <c r="AA169" i="3" s="1"/>
  <c r="Z167" i="3"/>
  <c r="X167" i="3"/>
  <c r="X156" i="3" s="1"/>
  <c r="W167" i="3"/>
  <c r="W156" i="3" s="1"/>
  <c r="V167" i="3"/>
  <c r="V156" i="3" s="1"/>
  <c r="U167" i="3"/>
  <c r="Q167" i="3"/>
  <c r="P167" i="3"/>
  <c r="P156" i="3" s="1"/>
  <c r="O167" i="3"/>
  <c r="O162" i="3" s="1"/>
  <c r="O157" i="3" s="1"/>
  <c r="O156" i="3" s="1"/>
  <c r="N167" i="3"/>
  <c r="M167" i="3"/>
  <c r="L167" i="3"/>
  <c r="K167" i="3"/>
  <c r="I167" i="3"/>
  <c r="H167" i="3"/>
  <c r="G167" i="3"/>
  <c r="F167" i="3"/>
  <c r="E167" i="3"/>
  <c r="D167" i="3"/>
  <c r="C167" i="3"/>
  <c r="AA166" i="3"/>
  <c r="Z165" i="3"/>
  <c r="Y165" i="3"/>
  <c r="Q165" i="3"/>
  <c r="Q162" i="3" s="1"/>
  <c r="Q157" i="3" s="1"/>
  <c r="Q156" i="3" s="1"/>
  <c r="O165" i="3"/>
  <c r="N165" i="3"/>
  <c r="M165" i="3"/>
  <c r="L165" i="3"/>
  <c r="K165" i="3"/>
  <c r="H165" i="3"/>
  <c r="H162" i="3" s="1"/>
  <c r="G165" i="3"/>
  <c r="G162" i="3" s="1"/>
  <c r="F165" i="3"/>
  <c r="AA165" i="3" s="1"/>
  <c r="E165" i="3"/>
  <c r="D165" i="3"/>
  <c r="C165" i="3"/>
  <c r="AA164" i="3"/>
  <c r="Z162" i="3"/>
  <c r="N162" i="3"/>
  <c r="K162" i="3"/>
  <c r="F162" i="3"/>
  <c r="E162" i="3"/>
  <c r="D162" i="3"/>
  <c r="C162" i="3"/>
  <c r="Z160" i="3"/>
  <c r="Q160" i="3"/>
  <c r="O160" i="3"/>
  <c r="L160" i="3"/>
  <c r="H160" i="3"/>
  <c r="G160" i="3"/>
  <c r="E160" i="3"/>
  <c r="D160" i="3"/>
  <c r="C160" i="3"/>
  <c r="Z158" i="3"/>
  <c r="Q158" i="3"/>
  <c r="O158" i="3"/>
  <c r="N158" i="3"/>
  <c r="M158" i="3"/>
  <c r="M157" i="3" s="1"/>
  <c r="L158" i="3"/>
  <c r="L157" i="3" s="1"/>
  <c r="L156" i="3" s="1"/>
  <c r="K158" i="3"/>
  <c r="H158" i="3"/>
  <c r="G158" i="3"/>
  <c r="F158" i="3"/>
  <c r="E158" i="3"/>
  <c r="D158" i="3"/>
  <c r="D157" i="3" s="1"/>
  <c r="D156" i="3" s="1"/>
  <c r="C158" i="3"/>
  <c r="G157" i="3"/>
  <c r="G156" i="3" s="1"/>
  <c r="E157" i="3"/>
  <c r="E156" i="3" s="1"/>
  <c r="C157" i="3"/>
  <c r="C156" i="3" s="1"/>
  <c r="U156" i="3"/>
  <c r="M156" i="3"/>
  <c r="AA155" i="3"/>
  <c r="AA154" i="3"/>
  <c r="AA153" i="3"/>
  <c r="AA152" i="3"/>
  <c r="AA151" i="3"/>
  <c r="AA150" i="3"/>
  <c r="AA149" i="3"/>
  <c r="AA148" i="3"/>
  <c r="AA147" i="3"/>
  <c r="AA146" i="3"/>
  <c r="AA145" i="3"/>
  <c r="AA144" i="3"/>
  <c r="AA143" i="3"/>
  <c r="AA142" i="3"/>
  <c r="AA141" i="3"/>
  <c r="AA140" i="3"/>
  <c r="AA139" i="3"/>
  <c r="AA138" i="3"/>
  <c r="AA137" i="3"/>
  <c r="AA136" i="3"/>
  <c r="AA135" i="3"/>
  <c r="AA134" i="3"/>
  <c r="AA133" i="3"/>
  <c r="AA132" i="3"/>
  <c r="AA131" i="3"/>
  <c r="AA130" i="3"/>
  <c r="AA129" i="3"/>
  <c r="AA128" i="3"/>
  <c r="AA127" i="3"/>
  <c r="AA126" i="3"/>
  <c r="AA125" i="3"/>
  <c r="AA124" i="3"/>
  <c r="AA123" i="3"/>
  <c r="AA122" i="3"/>
  <c r="AA121" i="3"/>
  <c r="AA120" i="3"/>
  <c r="AA119" i="3"/>
  <c r="AA118" i="3"/>
  <c r="AA117" i="3"/>
  <c r="AA116" i="3"/>
  <c r="AA115" i="3"/>
  <c r="AA114" i="3"/>
  <c r="AA113" i="3"/>
  <c r="AA112" i="3"/>
  <c r="AA111" i="3"/>
  <c r="AA110" i="3"/>
  <c r="AA109" i="3"/>
  <c r="AA108" i="3"/>
  <c r="AA107" i="3"/>
  <c r="AA106" i="3"/>
  <c r="AA105" i="3"/>
  <c r="AA104" i="3"/>
  <c r="AA102" i="3"/>
  <c r="Z101" i="3"/>
  <c r="Q101" i="3"/>
  <c r="O101" i="3"/>
  <c r="L101" i="3"/>
  <c r="K101" i="3"/>
  <c r="J101" i="3"/>
  <c r="I101" i="3"/>
  <c r="G101" i="3"/>
  <c r="F101" i="3"/>
  <c r="E101" i="3"/>
  <c r="D101" i="3"/>
  <c r="C101" i="3"/>
  <c r="AA100" i="3"/>
  <c r="Z98" i="3"/>
  <c r="Y98" i="3"/>
  <c r="Q98" i="3"/>
  <c r="O98" i="3"/>
  <c r="M98" i="3"/>
  <c r="H98" i="3"/>
  <c r="G98" i="3"/>
  <c r="F98" i="3"/>
  <c r="E98" i="3"/>
  <c r="D98" i="3"/>
  <c r="C98" i="3"/>
  <c r="AA97" i="3"/>
  <c r="AA96" i="3"/>
  <c r="AA95" i="3"/>
  <c r="AA94" i="3"/>
  <c r="Z93" i="3"/>
  <c r="Y93" i="3"/>
  <c r="Q93" i="3"/>
  <c r="O93" i="3"/>
  <c r="O92" i="3" s="1"/>
  <c r="N93" i="3"/>
  <c r="M93" i="3"/>
  <c r="H93" i="3"/>
  <c r="G93" i="3"/>
  <c r="F93" i="3"/>
  <c r="E93" i="3"/>
  <c r="E92" i="3" s="1"/>
  <c r="D93" i="3"/>
  <c r="D92" i="3" s="1"/>
  <c r="C93" i="3"/>
  <c r="C92" i="3" s="1"/>
  <c r="Z92" i="3"/>
  <c r="Y92" i="3"/>
  <c r="Q92" i="3"/>
  <c r="L92" i="3"/>
  <c r="K92" i="3"/>
  <c r="J92" i="3"/>
  <c r="I92" i="3"/>
  <c r="H92" i="3"/>
  <c r="G92" i="3"/>
  <c r="F92" i="3"/>
  <c r="AA91" i="3"/>
  <c r="AA90" i="3"/>
  <c r="AA89" i="3"/>
  <c r="Z88" i="3"/>
  <c r="Z87" i="3" s="1"/>
  <c r="Z82" i="3" s="1"/>
  <c r="Y88" i="3"/>
  <c r="X88" i="3"/>
  <c r="W88" i="3"/>
  <c r="V88" i="3"/>
  <c r="V87" i="3" s="1"/>
  <c r="V82" i="3" s="1"/>
  <c r="U88" i="3"/>
  <c r="U87" i="3" s="1"/>
  <c r="T88" i="3"/>
  <c r="T87" i="3" s="1"/>
  <c r="S88" i="3"/>
  <c r="R88" i="3"/>
  <c r="Q88" i="3"/>
  <c r="P88" i="3"/>
  <c r="O88" i="3"/>
  <c r="N88" i="3"/>
  <c r="N87" i="3" s="1"/>
  <c r="M88" i="3"/>
  <c r="M87" i="3" s="1"/>
  <c r="L88" i="3"/>
  <c r="L87" i="3" s="1"/>
  <c r="L82" i="3" s="1"/>
  <c r="K88" i="3"/>
  <c r="AA88" i="3" s="1"/>
  <c r="I88" i="3"/>
  <c r="H88" i="3"/>
  <c r="G88" i="3"/>
  <c r="E88" i="3"/>
  <c r="Y87" i="3"/>
  <c r="Y82" i="3" s="1"/>
  <c r="X87" i="3"/>
  <c r="X82" i="3" s="1"/>
  <c r="W87" i="3"/>
  <c r="W82" i="3" s="1"/>
  <c r="S87" i="3"/>
  <c r="S82" i="3" s="1"/>
  <c r="R87" i="3"/>
  <c r="R82" i="3" s="1"/>
  <c r="Q87" i="3"/>
  <c r="Q82" i="3" s="1"/>
  <c r="P87" i="3"/>
  <c r="O87" i="3"/>
  <c r="J87" i="3"/>
  <c r="J82" i="3" s="1"/>
  <c r="I87" i="3"/>
  <c r="I82" i="3" s="1"/>
  <c r="H87" i="3"/>
  <c r="H82" i="3" s="1"/>
  <c r="G87" i="3"/>
  <c r="F87" i="3"/>
  <c r="E87" i="3"/>
  <c r="D87" i="3"/>
  <c r="C87" i="3"/>
  <c r="C82" i="3" s="1"/>
  <c r="AA86" i="3"/>
  <c r="AA85" i="3"/>
  <c r="AA84" i="3"/>
  <c r="AA83" i="3"/>
  <c r="U82" i="3"/>
  <c r="T82" i="3"/>
  <c r="P82" i="3"/>
  <c r="O82" i="3"/>
  <c r="N82" i="3"/>
  <c r="M82" i="3"/>
  <c r="G82" i="3"/>
  <c r="F82" i="3"/>
  <c r="E82" i="3"/>
  <c r="D82" i="3"/>
  <c r="AA81" i="3"/>
  <c r="AA80" i="3"/>
  <c r="AA79" i="3"/>
  <c r="AA78" i="3"/>
  <c r="AA77" i="3"/>
  <c r="AA76" i="3"/>
  <c r="AA75" i="3"/>
  <c r="AA73" i="3"/>
  <c r="Z72" i="3"/>
  <c r="Y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AA71" i="3"/>
  <c r="AA70" i="3"/>
  <c r="AA68" i="3"/>
  <c r="AA67" i="3"/>
  <c r="AA66" i="3"/>
  <c r="AA65" i="3"/>
  <c r="AA64" i="3"/>
  <c r="AA63" i="3"/>
  <c r="AA62" i="3"/>
  <c r="AA61" i="3"/>
  <c r="AA60" i="3"/>
  <c r="AA59" i="3"/>
  <c r="AA58" i="3"/>
  <c r="AA57" i="3"/>
  <c r="AA56" i="3"/>
  <c r="Z55" i="3"/>
  <c r="X55" i="3"/>
  <c r="W55" i="3"/>
  <c r="W40" i="3" s="1"/>
  <c r="V55" i="3"/>
  <c r="U55" i="3"/>
  <c r="T55" i="3"/>
  <c r="S55" i="3"/>
  <c r="R55" i="3"/>
  <c r="Q55" i="3"/>
  <c r="P55" i="3"/>
  <c r="P40" i="3" s="1"/>
  <c r="O55" i="3"/>
  <c r="O40" i="3" s="1"/>
  <c r="N55" i="3"/>
  <c r="M55" i="3"/>
  <c r="L55" i="3"/>
  <c r="J55" i="3"/>
  <c r="I55" i="3"/>
  <c r="H55" i="3"/>
  <c r="G55" i="3"/>
  <c r="G40" i="3" s="1"/>
  <c r="F55" i="3"/>
  <c r="E55" i="3"/>
  <c r="D55" i="3"/>
  <c r="C55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Z41" i="3"/>
  <c r="Y41" i="3"/>
  <c r="X41" i="3"/>
  <c r="W41" i="3"/>
  <c r="V41" i="3"/>
  <c r="V40" i="3" s="1"/>
  <c r="U41" i="3"/>
  <c r="U40" i="3" s="1"/>
  <c r="T41" i="3"/>
  <c r="S41" i="3"/>
  <c r="R41" i="3"/>
  <c r="Q41" i="3"/>
  <c r="Q40" i="3" s="1"/>
  <c r="P41" i="3"/>
  <c r="O41" i="3"/>
  <c r="N41" i="3"/>
  <c r="N40" i="3" s="1"/>
  <c r="M41" i="3"/>
  <c r="M40" i="3" s="1"/>
  <c r="L41" i="3"/>
  <c r="L40" i="3" s="1"/>
  <c r="L9" i="3" s="1"/>
  <c r="I21" i="6" s="1"/>
  <c r="K41" i="3"/>
  <c r="J41" i="3"/>
  <c r="I41" i="3"/>
  <c r="H41" i="3"/>
  <c r="G41" i="3"/>
  <c r="F41" i="3"/>
  <c r="F40" i="3" s="1"/>
  <c r="E41" i="3"/>
  <c r="E40" i="3" s="1"/>
  <c r="D41" i="3"/>
  <c r="D40" i="3" s="1"/>
  <c r="C41" i="3"/>
  <c r="AA41" i="3" s="1"/>
  <c r="Z40" i="3"/>
  <c r="X40" i="3"/>
  <c r="T40" i="3"/>
  <c r="S40" i="3"/>
  <c r="R40" i="3"/>
  <c r="J40" i="3"/>
  <c r="I40" i="3"/>
  <c r="H40" i="3"/>
  <c r="C40" i="3"/>
  <c r="AA39" i="3"/>
  <c r="AA38" i="3"/>
  <c r="AA37" i="3"/>
  <c r="AA36" i="3"/>
  <c r="Z35" i="3"/>
  <c r="Y35" i="3"/>
  <c r="X35" i="3"/>
  <c r="W35" i="3"/>
  <c r="W34" i="3" s="1"/>
  <c r="V35" i="3"/>
  <c r="U35" i="3"/>
  <c r="T35" i="3"/>
  <c r="S35" i="3"/>
  <c r="R35" i="3"/>
  <c r="Q35" i="3"/>
  <c r="P35" i="3"/>
  <c r="O35" i="3"/>
  <c r="O34" i="3" s="1"/>
  <c r="N35" i="3"/>
  <c r="M35" i="3"/>
  <c r="L35" i="3"/>
  <c r="K35" i="3"/>
  <c r="J35" i="3"/>
  <c r="I35" i="3"/>
  <c r="H35" i="3"/>
  <c r="G35" i="3"/>
  <c r="G34" i="3" s="1"/>
  <c r="F35" i="3"/>
  <c r="E35" i="3"/>
  <c r="D35" i="3"/>
  <c r="C35" i="3"/>
  <c r="Z34" i="3"/>
  <c r="Y34" i="3"/>
  <c r="X34" i="3"/>
  <c r="V34" i="3"/>
  <c r="U34" i="3"/>
  <c r="S34" i="3"/>
  <c r="R34" i="3"/>
  <c r="Q34" i="3"/>
  <c r="P34" i="3"/>
  <c r="N34" i="3"/>
  <c r="N10" i="3" s="1"/>
  <c r="M34" i="3"/>
  <c r="L34" i="3"/>
  <c r="K34" i="3"/>
  <c r="J34" i="3"/>
  <c r="I34" i="3"/>
  <c r="H34" i="3"/>
  <c r="F34" i="3"/>
  <c r="E34" i="3"/>
  <c r="D34" i="3"/>
  <c r="C34" i="3"/>
  <c r="AA33" i="3"/>
  <c r="AA32" i="3"/>
  <c r="AA31" i="3"/>
  <c r="AA30" i="3"/>
  <c r="AA29" i="3"/>
  <c r="AA28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A27" i="3" s="1"/>
  <c r="AA26" i="3"/>
  <c r="AA25" i="3"/>
  <c r="AA23" i="3"/>
  <c r="AA22" i="3"/>
  <c r="AA21" i="3"/>
  <c r="AA20" i="3"/>
  <c r="AA19" i="3"/>
  <c r="AA18" i="3"/>
  <c r="Z17" i="3"/>
  <c r="Y17" i="3"/>
  <c r="X17" i="3"/>
  <c r="W17" i="3"/>
  <c r="W11" i="3" s="1"/>
  <c r="W10" i="3" s="1"/>
  <c r="W9" i="3" s="1"/>
  <c r="I32" i="6" s="1"/>
  <c r="V17" i="3"/>
  <c r="V11" i="3" s="1"/>
  <c r="V10" i="3" s="1"/>
  <c r="V9" i="3" s="1"/>
  <c r="I31" i="6" s="1"/>
  <c r="U17" i="3"/>
  <c r="U11" i="3" s="1"/>
  <c r="U10" i="3" s="1"/>
  <c r="U9" i="3" s="1"/>
  <c r="I30" i="6" s="1"/>
  <c r="T17" i="3"/>
  <c r="S17" i="3"/>
  <c r="R17" i="3"/>
  <c r="Q17" i="3"/>
  <c r="P17" i="3"/>
  <c r="O17" i="3"/>
  <c r="N17" i="3"/>
  <c r="N11" i="3" s="1"/>
  <c r="M17" i="3"/>
  <c r="M11" i="3" s="1"/>
  <c r="M10" i="3" s="1"/>
  <c r="L17" i="3"/>
  <c r="K17" i="3"/>
  <c r="J17" i="3"/>
  <c r="I17" i="3"/>
  <c r="H17" i="3"/>
  <c r="F17" i="3"/>
  <c r="E17" i="3"/>
  <c r="D17" i="3"/>
  <c r="C17" i="3"/>
  <c r="AA16" i="3"/>
  <c r="AA15" i="3"/>
  <c r="AA14" i="3"/>
  <c r="AA13" i="3"/>
  <c r="Z12" i="3"/>
  <c r="Y12" i="3"/>
  <c r="X12" i="3"/>
  <c r="W12" i="3"/>
  <c r="V12" i="3"/>
  <c r="U12" i="3"/>
  <c r="T12" i="3"/>
  <c r="T11" i="3" s="1"/>
  <c r="T10" i="3" s="1"/>
  <c r="T9" i="3" s="1"/>
  <c r="I29" i="6" s="1"/>
  <c r="S12" i="3"/>
  <c r="S11" i="3" s="1"/>
  <c r="S10" i="3" s="1"/>
  <c r="S9" i="3" s="1"/>
  <c r="I28" i="6" s="1"/>
  <c r="R12" i="3"/>
  <c r="Q12" i="3"/>
  <c r="Q11" i="3" s="1"/>
  <c r="Q10" i="3" s="1"/>
  <c r="P12" i="3"/>
  <c r="P11" i="3" s="1"/>
  <c r="P10" i="3" s="1"/>
  <c r="O12" i="3"/>
  <c r="N12" i="3"/>
  <c r="M12" i="3"/>
  <c r="L12" i="3"/>
  <c r="K12" i="3"/>
  <c r="K11" i="3" s="1"/>
  <c r="K10" i="3" s="1"/>
  <c r="J12" i="3"/>
  <c r="J11" i="3" s="1"/>
  <c r="J10" i="3" s="1"/>
  <c r="I12" i="3"/>
  <c r="I11" i="3" s="1"/>
  <c r="I10" i="3" s="1"/>
  <c r="H12" i="3"/>
  <c r="G12" i="3"/>
  <c r="F12" i="3"/>
  <c r="E12" i="3"/>
  <c r="D12" i="3"/>
  <c r="C12" i="3"/>
  <c r="C11" i="3" s="1"/>
  <c r="C10" i="3" s="1"/>
  <c r="Z11" i="3"/>
  <c r="Y11" i="3"/>
  <c r="Y10" i="3" s="1"/>
  <c r="X11" i="3"/>
  <c r="X10" i="3" s="1"/>
  <c r="R11" i="3"/>
  <c r="O11" i="3"/>
  <c r="O10" i="3" s="1"/>
  <c r="O9" i="3" s="1"/>
  <c r="I24" i="6" s="1"/>
  <c r="L11" i="3"/>
  <c r="L10" i="3" s="1"/>
  <c r="H11" i="3"/>
  <c r="F11" i="3"/>
  <c r="F10" i="3" s="1"/>
  <c r="Z10" i="3"/>
  <c r="Z9" i="3" s="1"/>
  <c r="I35" i="6" s="1"/>
  <c r="R10" i="3"/>
  <c r="H10" i="3"/>
  <c r="J6" i="3"/>
  <c r="F134" i="2"/>
  <c r="F133" i="2"/>
  <c r="F132" i="2"/>
  <c r="F131" i="2"/>
  <c r="E130" i="2"/>
  <c r="C16" i="5" s="1"/>
  <c r="D130" i="2"/>
  <c r="F129" i="2"/>
  <c r="E128" i="2"/>
  <c r="D128" i="2"/>
  <c r="F128" i="2" s="1"/>
  <c r="F127" i="2"/>
  <c r="F126" i="2"/>
  <c r="F125" i="2"/>
  <c r="E125" i="2"/>
  <c r="D125" i="2"/>
  <c r="F124" i="2"/>
  <c r="F123" i="2"/>
  <c r="F122" i="2"/>
  <c r="F121" i="2"/>
  <c r="F120" i="2"/>
  <c r="E120" i="2"/>
  <c r="D120" i="2"/>
  <c r="F119" i="2"/>
  <c r="E118" i="2"/>
  <c r="D118" i="2"/>
  <c r="F118" i="2" s="1"/>
  <c r="F117" i="2"/>
  <c r="D116" i="2"/>
  <c r="F116" i="2" s="1"/>
  <c r="F115" i="2"/>
  <c r="F114" i="2"/>
  <c r="E114" i="2"/>
  <c r="D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D89" i="2"/>
  <c r="D84" i="2" s="1"/>
  <c r="F84" i="2" s="1"/>
  <c r="F88" i="2"/>
  <c r="F87" i="2"/>
  <c r="F86" i="2"/>
  <c r="F85" i="2"/>
  <c r="E83" i="2"/>
  <c r="F82" i="2"/>
  <c r="E81" i="2"/>
  <c r="E80" i="2" s="1"/>
  <c r="D81" i="2"/>
  <c r="F79" i="2"/>
  <c r="F78" i="2"/>
  <c r="F77" i="2"/>
  <c r="F76" i="2"/>
  <c r="F75" i="2"/>
  <c r="F74" i="2"/>
  <c r="F73" i="2"/>
  <c r="F72" i="2"/>
  <c r="E71" i="2"/>
  <c r="F71" i="2" s="1"/>
  <c r="D71" i="2"/>
  <c r="F70" i="2"/>
  <c r="F69" i="2"/>
  <c r="F68" i="2"/>
  <c r="F67" i="2"/>
  <c r="T66" i="2"/>
  <c r="D66" i="2"/>
  <c r="P64" i="2"/>
  <c r="F64" i="2"/>
  <c r="P62" i="2"/>
  <c r="D62" i="2"/>
  <c r="T61" i="2"/>
  <c r="F61" i="2"/>
  <c r="P60" i="2"/>
  <c r="P61" i="2" s="1"/>
  <c r="F60" i="2"/>
  <c r="F59" i="2"/>
  <c r="E59" i="2"/>
  <c r="D59" i="2"/>
  <c r="D58" i="2"/>
  <c r="F57" i="2"/>
  <c r="F55" i="2"/>
  <c r="F54" i="2"/>
  <c r="D53" i="2"/>
  <c r="D47" i="2" s="1"/>
  <c r="F52" i="2"/>
  <c r="F51" i="2"/>
  <c r="F50" i="2"/>
  <c r="F49" i="2"/>
  <c r="F48" i="2"/>
  <c r="E48" i="2"/>
  <c r="D48" i="2"/>
  <c r="F46" i="2"/>
  <c r="F45" i="2"/>
  <c r="F44" i="2"/>
  <c r="F43" i="2"/>
  <c r="E42" i="2"/>
  <c r="D42" i="2"/>
  <c r="F42" i="2" s="1"/>
  <c r="F41" i="2"/>
  <c r="Q40" i="2"/>
  <c r="F40" i="2"/>
  <c r="F39" i="2"/>
  <c r="F38" i="2"/>
  <c r="E37" i="2"/>
  <c r="D37" i="2"/>
  <c r="D36" i="2" s="1"/>
  <c r="E36" i="2"/>
  <c r="F34" i="2"/>
  <c r="E33" i="2"/>
  <c r="D33" i="2"/>
  <c r="F33" i="2" s="1"/>
  <c r="F32" i="2"/>
  <c r="F31" i="2"/>
  <c r="E30" i="2"/>
  <c r="D30" i="2"/>
  <c r="D20" i="2" s="1"/>
  <c r="F29" i="2"/>
  <c r="F28" i="2"/>
  <c r="F27" i="2"/>
  <c r="E27" i="2"/>
  <c r="D27" i="2"/>
  <c r="F26" i="2"/>
  <c r="F25" i="2"/>
  <c r="E24" i="2"/>
  <c r="F24" i="2" s="1"/>
  <c r="D24" i="2"/>
  <c r="F23" i="2"/>
  <c r="F22" i="2"/>
  <c r="E22" i="2"/>
  <c r="D22" i="2"/>
  <c r="E21" i="2"/>
  <c r="E20" i="2" s="1"/>
  <c r="F20" i="2" s="1"/>
  <c r="D21" i="2"/>
  <c r="F19" i="2"/>
  <c r="F18" i="2"/>
  <c r="E17" i="2"/>
  <c r="E16" i="2" s="1"/>
  <c r="D17" i="2"/>
  <c r="D16" i="2"/>
  <c r="Q6" i="2"/>
  <c r="D76" i="10"/>
  <c r="E75" i="10"/>
  <c r="E74" i="10"/>
  <c r="E73" i="10"/>
  <c r="E72" i="10"/>
  <c r="E71" i="10"/>
  <c r="E70" i="10"/>
  <c r="E69" i="10"/>
  <c r="E68" i="10"/>
  <c r="E67" i="10"/>
  <c r="E66" i="10"/>
  <c r="E65" i="10"/>
  <c r="E76" i="10" s="1"/>
  <c r="E64" i="10"/>
  <c r="D61" i="10"/>
  <c r="E79" i="10" s="1"/>
  <c r="E60" i="10"/>
  <c r="E59" i="10"/>
  <c r="E58" i="10"/>
  <c r="E57" i="10"/>
  <c r="E56" i="10"/>
  <c r="E55" i="10"/>
  <c r="E54" i="10"/>
  <c r="E61" i="10" s="1"/>
  <c r="E53" i="10"/>
  <c r="E52" i="10"/>
  <c r="E51" i="10"/>
  <c r="E50" i="10"/>
  <c r="E49" i="10"/>
  <c r="D45" i="10"/>
  <c r="E44" i="10"/>
  <c r="E45" i="10" s="1"/>
  <c r="E43" i="10"/>
  <c r="D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D24" i="10"/>
  <c r="E23" i="10"/>
  <c r="E22" i="10"/>
  <c r="E21" i="10"/>
  <c r="E20" i="10"/>
  <c r="E19" i="10"/>
  <c r="E18" i="10"/>
  <c r="E17" i="10"/>
  <c r="E24" i="10" s="1"/>
  <c r="E16" i="10"/>
  <c r="E15" i="10"/>
  <c r="E14" i="10"/>
  <c r="E13" i="10"/>
  <c r="E12" i="10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H12" i="11"/>
  <c r="B12" i="11"/>
  <c r="B11" i="11"/>
  <c r="B10" i="11"/>
  <c r="B9" i="11"/>
  <c r="B8" i="11"/>
  <c r="H7" i="11"/>
  <c r="B7" i="11"/>
  <c r="B6" i="11"/>
  <c r="B5" i="11"/>
  <c r="B4" i="11"/>
  <c r="B3" i="11"/>
  <c r="P103" i="3"/>
  <c r="F24" i="9"/>
  <c r="Y161" i="3"/>
  <c r="L33" i="14"/>
  <c r="Y163" i="3"/>
  <c r="N161" i="3"/>
  <c r="F161" i="3"/>
  <c r="I161" i="3"/>
  <c r="Y159" i="3"/>
  <c r="H103" i="3"/>
  <c r="Y168" i="3"/>
  <c r="N103" i="3"/>
  <c r="N99" i="3"/>
  <c r="K172" i="3"/>
  <c r="F20" i="9"/>
  <c r="F26" i="9"/>
  <c r="K69" i="3"/>
  <c r="Y103" i="3"/>
  <c r="G24" i="3"/>
  <c r="M103" i="3"/>
  <c r="F19" i="9"/>
  <c r="K161" i="3"/>
  <c r="Y69" i="3"/>
  <c r="F25" i="9"/>
  <c r="J168" i="3"/>
  <c r="G53" i="9"/>
  <c r="E74" i="3"/>
  <c r="AA74" i="3" l="1"/>
  <c r="E72" i="3"/>
  <c r="AA72" i="3" s="1"/>
  <c r="D14" i="4" s="1"/>
  <c r="F14" i="4" s="1"/>
  <c r="G51" i="9"/>
  <c r="G49" i="9" s="1"/>
  <c r="D63" i="9" s="1"/>
  <c r="F63" i="9" s="1"/>
  <c r="E80" i="10"/>
  <c r="E39" i="10"/>
  <c r="I41" i="8"/>
  <c r="F81" i="2"/>
  <c r="X9" i="3"/>
  <c r="I33" i="6" s="1"/>
  <c r="D15" i="2"/>
  <c r="F36" i="2"/>
  <c r="D35" i="2"/>
  <c r="Q9" i="3"/>
  <c r="I26" i="6" s="1"/>
  <c r="G32" i="8"/>
  <c r="E15" i="2"/>
  <c r="G14" i="8"/>
  <c r="E56" i="2" s="1"/>
  <c r="C9" i="3"/>
  <c r="I12" i="6" s="1"/>
  <c r="F26" i="7"/>
  <c r="F16" i="2"/>
  <c r="F15" i="2" s="1"/>
  <c r="I72" i="8"/>
  <c r="E66" i="2"/>
  <c r="N29" i="4"/>
  <c r="I19" i="8"/>
  <c r="I20" i="8"/>
  <c r="F17" i="2"/>
  <c r="D83" i="2"/>
  <c r="F83" i="2" s="1"/>
  <c r="F89" i="2"/>
  <c r="K87" i="3"/>
  <c r="K82" i="3" s="1"/>
  <c r="AA82" i="3" s="1"/>
  <c r="D15" i="4" s="1"/>
  <c r="N30" i="4"/>
  <c r="F30" i="4"/>
  <c r="N40" i="4"/>
  <c r="E40" i="7"/>
  <c r="F40" i="7" s="1"/>
  <c r="F40" i="4"/>
  <c r="F73" i="4"/>
  <c r="I46" i="8"/>
  <c r="I66" i="8"/>
  <c r="E65" i="8"/>
  <c r="I65" i="8" s="1"/>
  <c r="F37" i="2"/>
  <c r="D80" i="2"/>
  <c r="AA35" i="3"/>
  <c r="H157" i="3"/>
  <c r="H156" i="3" s="1"/>
  <c r="E27" i="7"/>
  <c r="F27" i="7" s="1"/>
  <c r="N27" i="4"/>
  <c r="F37" i="4"/>
  <c r="F45" i="4"/>
  <c r="F50" i="4"/>
  <c r="F60" i="4"/>
  <c r="N63" i="4"/>
  <c r="E37" i="7"/>
  <c r="F37" i="7" s="1"/>
  <c r="E43" i="7"/>
  <c r="F43" i="7" s="1"/>
  <c r="I17" i="8"/>
  <c r="E16" i="8"/>
  <c r="I16" i="8" s="1"/>
  <c r="I30" i="8"/>
  <c r="E29" i="8"/>
  <c r="I29" i="8" s="1"/>
  <c r="E58" i="8"/>
  <c r="I79" i="8"/>
  <c r="E78" i="8"/>
  <c r="I78" i="8" s="1"/>
  <c r="G11" i="9"/>
  <c r="F21" i="2"/>
  <c r="D11" i="3"/>
  <c r="D10" i="3" s="1"/>
  <c r="D9" i="3" s="1"/>
  <c r="I13" i="6" s="1"/>
  <c r="F63" i="4"/>
  <c r="E30" i="7"/>
  <c r="F30" i="7" s="1"/>
  <c r="F30" i="2"/>
  <c r="AA34" i="3"/>
  <c r="AA93" i="3"/>
  <c r="N60" i="4"/>
  <c r="N64" i="4"/>
  <c r="E64" i="7"/>
  <c r="F64" i="7" s="1"/>
  <c r="F64" i="4"/>
  <c r="F78" i="4"/>
  <c r="H23" i="8"/>
  <c r="H22" i="8" s="1"/>
  <c r="I26" i="8"/>
  <c r="I47" i="8"/>
  <c r="I50" i="8"/>
  <c r="I51" i="8"/>
  <c r="I55" i="8"/>
  <c r="E54" i="8"/>
  <c r="I54" i="8" s="1"/>
  <c r="I95" i="8"/>
  <c r="R9" i="3"/>
  <c r="I27" i="6" s="1"/>
  <c r="AA12" i="3"/>
  <c r="E61" i="7"/>
  <c r="F61" i="7" s="1"/>
  <c r="N61" i="4"/>
  <c r="E74" i="4"/>
  <c r="N74" i="4" s="1"/>
  <c r="E55" i="7"/>
  <c r="F55" i="7" s="1"/>
  <c r="E75" i="7"/>
  <c r="F75" i="7" s="1"/>
  <c r="I59" i="8"/>
  <c r="F71" i="8"/>
  <c r="F14" i="8" s="1"/>
  <c r="I87" i="8"/>
  <c r="I120" i="8"/>
  <c r="G13" i="9"/>
  <c r="E72" i="4"/>
  <c r="N72" i="4" s="1"/>
  <c r="E73" i="7"/>
  <c r="F73" i="7" s="1"/>
  <c r="M92" i="3"/>
  <c r="N35" i="4"/>
  <c r="F35" i="4"/>
  <c r="F61" i="4"/>
  <c r="F79" i="4"/>
  <c r="I23" i="8"/>
  <c r="E22" i="8"/>
  <c r="I22" i="8" s="1"/>
  <c r="C37" i="5" s="1"/>
  <c r="H32" i="8"/>
  <c r="F58" i="8"/>
  <c r="H61" i="8"/>
  <c r="I61" i="8" s="1"/>
  <c r="I73" i="8"/>
  <c r="I90" i="8"/>
  <c r="E69" i="7"/>
  <c r="F69" i="7" s="1"/>
  <c r="N69" i="4"/>
  <c r="I32" i="8"/>
  <c r="C38" i="5" s="1"/>
  <c r="I118" i="8"/>
  <c r="E117" i="8"/>
  <c r="E39" i="4"/>
  <c r="N39" i="4" s="1"/>
  <c r="E11" i="3"/>
  <c r="E10" i="3" s="1"/>
  <c r="E22" i="4"/>
  <c r="N22" i="4" s="1"/>
  <c r="F29" i="4"/>
  <c r="F69" i="4"/>
  <c r="I42" i="8"/>
  <c r="H58" i="8"/>
  <c r="H14" i="8" s="1"/>
  <c r="I68" i="8"/>
  <c r="I99" i="8"/>
  <c r="E98" i="8"/>
  <c r="I98" i="8" s="1"/>
  <c r="F116" i="8"/>
  <c r="E82" i="7"/>
  <c r="F82" i="7" s="1"/>
  <c r="F20" i="4"/>
  <c r="F25" i="4"/>
  <c r="F38" i="4"/>
  <c r="F59" i="4"/>
  <c r="F67" i="4"/>
  <c r="F82" i="4"/>
  <c r="F28" i="4"/>
  <c r="E14" i="6"/>
  <c r="AA24" i="3"/>
  <c r="G17" i="3"/>
  <c r="AA172" i="3"/>
  <c r="K171" i="3"/>
  <c r="AA171" i="3" s="1"/>
  <c r="AA103" i="3"/>
  <c r="H101" i="3"/>
  <c r="N160" i="3"/>
  <c r="N157" i="3" s="1"/>
  <c r="N156" i="3" s="1"/>
  <c r="AA168" i="3"/>
  <c r="J167" i="3"/>
  <c r="Y160" i="3"/>
  <c r="Y167" i="3"/>
  <c r="Y162" i="3" s="1"/>
  <c r="AA162" i="3" s="1"/>
  <c r="F17" i="9"/>
  <c r="Y101" i="3"/>
  <c r="AA99" i="3"/>
  <c r="N98" i="3"/>
  <c r="Y158" i="3"/>
  <c r="AA159" i="3"/>
  <c r="AA163" i="3"/>
  <c r="AA161" i="3"/>
  <c r="F160" i="3"/>
  <c r="M101" i="3"/>
  <c r="M9" i="3" s="1"/>
  <c r="K55" i="3"/>
  <c r="AA69" i="3"/>
  <c r="N101" i="3"/>
  <c r="I160" i="3"/>
  <c r="I157" i="3" s="1"/>
  <c r="I156" i="3" s="1"/>
  <c r="I9" i="3" s="1"/>
  <c r="Y55" i="3"/>
  <c r="Y40" i="3" s="1"/>
  <c r="P101" i="3"/>
  <c r="P9" i="3" s="1"/>
  <c r="K160" i="3"/>
  <c r="K156" i="3" s="1"/>
  <c r="G26" i="9"/>
  <c r="F130" i="2"/>
  <c r="F16" i="9"/>
  <c r="F35" i="9"/>
  <c r="I25" i="6"/>
  <c r="I18" i="6"/>
  <c r="I22" i="6"/>
  <c r="C28" i="5" l="1"/>
  <c r="C22" i="9"/>
  <c r="E22" i="9" s="1"/>
  <c r="G22" i="9" s="1"/>
  <c r="D13" i="7"/>
  <c r="F13" i="7" s="1"/>
  <c r="E9" i="3"/>
  <c r="I14" i="6" s="1"/>
  <c r="F6" i="8"/>
  <c r="J9" i="8"/>
  <c r="E63" i="2"/>
  <c r="C23" i="9"/>
  <c r="E23" i="9" s="1"/>
  <c r="G23" i="9" s="1"/>
  <c r="D14" i="7"/>
  <c r="F14" i="7" s="1"/>
  <c r="F15" i="4"/>
  <c r="C29" i="5"/>
  <c r="F74" i="4"/>
  <c r="C14" i="9"/>
  <c r="E14" i="9" s="1"/>
  <c r="E83" i="4"/>
  <c r="N83" i="4" s="1"/>
  <c r="I58" i="8"/>
  <c r="C39" i="5" s="1"/>
  <c r="E71" i="8"/>
  <c r="I71" i="8" s="1"/>
  <c r="C40" i="5" s="1"/>
  <c r="F72" i="4"/>
  <c r="F80" i="2"/>
  <c r="D65" i="2"/>
  <c r="D13" i="2" s="1"/>
  <c r="Q22" i="2" s="1"/>
  <c r="F56" i="2"/>
  <c r="E53" i="2"/>
  <c r="C12" i="9"/>
  <c r="F22" i="4"/>
  <c r="E32" i="8"/>
  <c r="E9" i="4"/>
  <c r="I117" i="8"/>
  <c r="E116" i="8"/>
  <c r="I116" i="8" s="1"/>
  <c r="C41" i="5" s="1"/>
  <c r="E65" i="2"/>
  <c r="F66" i="2"/>
  <c r="F39" i="4"/>
  <c r="E83" i="7"/>
  <c r="AA87" i="3"/>
  <c r="E15" i="8"/>
  <c r="E9" i="7"/>
  <c r="AA98" i="3"/>
  <c r="N92" i="3"/>
  <c r="H9" i="3"/>
  <c r="AA101" i="3"/>
  <c r="F157" i="3"/>
  <c r="AA160" i="3"/>
  <c r="Y157" i="3"/>
  <c r="Y156" i="3" s="1"/>
  <c r="Y9" i="3" s="1"/>
  <c r="AA158" i="3"/>
  <c r="AA55" i="3"/>
  <c r="K40" i="3"/>
  <c r="AA17" i="3"/>
  <c r="G11" i="3"/>
  <c r="AA167" i="3"/>
  <c r="J156" i="3"/>
  <c r="J9" i="3" s="1"/>
  <c r="G16" i="9"/>
  <c r="L15" i="9"/>
  <c r="D68" i="9"/>
  <c r="J13" i="4"/>
  <c r="I17" i="6"/>
  <c r="I19" i="6"/>
  <c r="I34" i="6"/>
  <c r="E62" i="2" l="1"/>
  <c r="F63" i="2"/>
  <c r="I15" i="8"/>
  <c r="C36" i="5" s="1"/>
  <c r="C42" i="5" s="1"/>
  <c r="E14" i="8"/>
  <c r="I14" i="8" s="1"/>
  <c r="I36" i="6" s="1"/>
  <c r="E12" i="9"/>
  <c r="C10" i="9"/>
  <c r="E47" i="2"/>
  <c r="F53" i="2"/>
  <c r="C15" i="9"/>
  <c r="E15" i="9" s="1"/>
  <c r="F65" i="2"/>
  <c r="G10" i="3"/>
  <c r="AA11" i="3"/>
  <c r="AA92" i="3"/>
  <c r="N9" i="3"/>
  <c r="K9" i="3"/>
  <c r="AA40" i="3"/>
  <c r="F156" i="3"/>
  <c r="AA157" i="3"/>
  <c r="I20" i="6"/>
  <c r="D17" i="4"/>
  <c r="I23" i="6"/>
  <c r="G12" i="9" l="1"/>
  <c r="E10" i="9"/>
  <c r="E35" i="2"/>
  <c r="F47" i="2"/>
  <c r="H15" i="9"/>
  <c r="G15" i="9"/>
  <c r="F62" i="2"/>
  <c r="E58" i="2"/>
  <c r="F58" i="2" s="1"/>
  <c r="C31" i="5"/>
  <c r="F17" i="4"/>
  <c r="C25" i="9"/>
  <c r="E25" i="9" s="1"/>
  <c r="D16" i="7"/>
  <c r="F16" i="7" s="1"/>
  <c r="AA10" i="3"/>
  <c r="G9" i="3"/>
  <c r="AA156" i="3"/>
  <c r="F9" i="3"/>
  <c r="D16" i="4"/>
  <c r="D13" i="4"/>
  <c r="I16" i="6"/>
  <c r="H10" i="9" l="1"/>
  <c r="I11" i="9"/>
  <c r="H16" i="9"/>
  <c r="H13" i="9"/>
  <c r="H11" i="9"/>
  <c r="H14" i="9"/>
  <c r="F14" i="9"/>
  <c r="E13" i="2"/>
  <c r="F35" i="2"/>
  <c r="H12" i="9"/>
  <c r="C30" i="5"/>
  <c r="D15" i="7"/>
  <c r="F15" i="7" s="1"/>
  <c r="F16" i="4"/>
  <c r="C24" i="9"/>
  <c r="E24" i="9" s="1"/>
  <c r="D12" i="7"/>
  <c r="F12" i="7" s="1"/>
  <c r="C20" i="9"/>
  <c r="E20" i="9" s="1"/>
  <c r="C27" i="5"/>
  <c r="F13" i="4"/>
  <c r="AA9" i="3"/>
  <c r="AB156" i="3" s="1"/>
  <c r="G25" i="9"/>
  <c r="AD10" i="3"/>
  <c r="I15" i="6"/>
  <c r="D12" i="4"/>
  <c r="C14" i="5" l="1"/>
  <c r="C18" i="5" s="1"/>
  <c r="F13" i="2"/>
  <c r="F10" i="9"/>
  <c r="G14" i="9"/>
  <c r="I37" i="6"/>
  <c r="J15" i="6" s="1"/>
  <c r="C19" i="9"/>
  <c r="F12" i="4"/>
  <c r="C26" i="5"/>
  <c r="C34" i="5" s="1"/>
  <c r="D11" i="7"/>
  <c r="D11" i="4"/>
  <c r="G20" i="9"/>
  <c r="G24" i="9"/>
  <c r="AB10" i="3"/>
  <c r="F83" i="7"/>
  <c r="AB95" i="3"/>
  <c r="AB65" i="3"/>
  <c r="AB61" i="3"/>
  <c r="AB57" i="3"/>
  <c r="AB53" i="3"/>
  <c r="AB49" i="3"/>
  <c r="AB45" i="3"/>
  <c r="AB41" i="3"/>
  <c r="AB37" i="3"/>
  <c r="AB21" i="3"/>
  <c r="AB13" i="3"/>
  <c r="AB20" i="3"/>
  <c r="AB12" i="3"/>
  <c r="AB165" i="3"/>
  <c r="AB164" i="3"/>
  <c r="AB105" i="3"/>
  <c r="AB100" i="3"/>
  <c r="AB32" i="3"/>
  <c r="AB28" i="3"/>
  <c r="AB9" i="3"/>
  <c r="AB71" i="3"/>
  <c r="AB68" i="3"/>
  <c r="AB64" i="3"/>
  <c r="AB60" i="3"/>
  <c r="AB56" i="3"/>
  <c r="AB52" i="3"/>
  <c r="AB48" i="3"/>
  <c r="AB44" i="3"/>
  <c r="AB36" i="3"/>
  <c r="AB16" i="3"/>
  <c r="AB102" i="3"/>
  <c r="AB97" i="3"/>
  <c r="AB74" i="3"/>
  <c r="AB70" i="3"/>
  <c r="AB67" i="3"/>
  <c r="AB63" i="3"/>
  <c r="AB59" i="3"/>
  <c r="AB51" i="3"/>
  <c r="AB47" i="3"/>
  <c r="AB43" i="3"/>
  <c r="AB39" i="3"/>
  <c r="AB35" i="3"/>
  <c r="AB23" i="3"/>
  <c r="AB19" i="3"/>
  <c r="AB15" i="3"/>
  <c r="AB166" i="3"/>
  <c r="AB33" i="3"/>
  <c r="AB169" i="3"/>
  <c r="AB107" i="3"/>
  <c r="AB87" i="3"/>
  <c r="AB30" i="3"/>
  <c r="AB26" i="3"/>
  <c r="AB88" i="3"/>
  <c r="AB29" i="3"/>
  <c r="AB96" i="3"/>
  <c r="AB66" i="3"/>
  <c r="AB62" i="3"/>
  <c r="AB58" i="3"/>
  <c r="AB54" i="3"/>
  <c r="AB50" i="3"/>
  <c r="AB46" i="3"/>
  <c r="AB42" i="3"/>
  <c r="AB38" i="3"/>
  <c r="AB34" i="3"/>
  <c r="AB22" i="3"/>
  <c r="AB18" i="3"/>
  <c r="AB14" i="3"/>
  <c r="AB106" i="3"/>
  <c r="AB72" i="3"/>
  <c r="AB25" i="3"/>
  <c r="AB104" i="3"/>
  <c r="AB91" i="3"/>
  <c r="AB93" i="3"/>
  <c r="AB170" i="3"/>
  <c r="AB27" i="3"/>
  <c r="AB82" i="3"/>
  <c r="AB31" i="3"/>
  <c r="AB103" i="3"/>
  <c r="AB159" i="3"/>
  <c r="AB168" i="3"/>
  <c r="AB161" i="3"/>
  <c r="AB162" i="3"/>
  <c r="AB172" i="3"/>
  <c r="AB171" i="3"/>
  <c r="AB24" i="3"/>
  <c r="AB99" i="3"/>
  <c r="AB163" i="3"/>
  <c r="AB69" i="3"/>
  <c r="AB101" i="3"/>
  <c r="AB55" i="3"/>
  <c r="AB158" i="3"/>
  <c r="AB160" i="3"/>
  <c r="AB98" i="3"/>
  <c r="AB17" i="3"/>
  <c r="AB167" i="3"/>
  <c r="AB40" i="3"/>
  <c r="AB11" i="3"/>
  <c r="AB92" i="3"/>
  <c r="AB157" i="3"/>
  <c r="I10" i="9" l="1"/>
  <c r="G10" i="9"/>
  <c r="I14" i="9"/>
  <c r="D10" i="7"/>
  <c r="D10" i="4"/>
  <c r="F11" i="4"/>
  <c r="F11" i="7"/>
  <c r="D83" i="7"/>
  <c r="D37" i="5"/>
  <c r="C43" i="5"/>
  <c r="D35" i="5"/>
  <c r="E19" i="9"/>
  <c r="C17" i="9"/>
  <c r="K10" i="9" s="1"/>
  <c r="J32" i="6"/>
  <c r="J28" i="6"/>
  <c r="J33" i="6"/>
  <c r="J29" i="6"/>
  <c r="J21" i="6"/>
  <c r="J14" i="6"/>
  <c r="J36" i="6"/>
  <c r="J13" i="6"/>
  <c r="J35" i="6"/>
  <c r="J31" i="6"/>
  <c r="J27" i="6"/>
  <c r="J37" i="6"/>
  <c r="J30" i="6"/>
  <c r="J26" i="6"/>
  <c r="J12" i="6"/>
  <c r="J24" i="6"/>
  <c r="J18" i="6"/>
  <c r="J25" i="6"/>
  <c r="J22" i="6"/>
  <c r="J34" i="6"/>
  <c r="J17" i="6"/>
  <c r="J19" i="6"/>
  <c r="J20" i="6"/>
  <c r="J23" i="6"/>
  <c r="J16" i="6"/>
  <c r="I13" i="9" l="1"/>
  <c r="I16" i="9"/>
  <c r="B34" i="9"/>
  <c r="I12" i="9"/>
  <c r="I15" i="9"/>
  <c r="L10" i="9"/>
  <c r="L14" i="9"/>
  <c r="L16" i="9" s="1"/>
  <c r="G19" i="9"/>
  <c r="E17" i="9"/>
  <c r="F10" i="4"/>
  <c r="H5" i="4"/>
  <c r="D83" i="4"/>
  <c r="F83" i="4" s="1"/>
  <c r="G83" i="4" s="1"/>
  <c r="D9" i="4"/>
  <c r="F9" i="4" s="1"/>
  <c r="G11" i="4" s="1"/>
  <c r="F10" i="7"/>
  <c r="D9" i="7"/>
  <c r="F9" i="7" s="1"/>
  <c r="G10" i="4" l="1"/>
  <c r="G62" i="7"/>
  <c r="G54" i="7"/>
  <c r="G46" i="7"/>
  <c r="G35" i="7"/>
  <c r="G24" i="7"/>
  <c r="G21" i="7"/>
  <c r="G18" i="7"/>
  <c r="G81" i="7"/>
  <c r="G61" i="7"/>
  <c r="G34" i="7"/>
  <c r="G20" i="7"/>
  <c r="G79" i="7"/>
  <c r="G76" i="7"/>
  <c r="G73" i="7"/>
  <c r="G70" i="7"/>
  <c r="G67" i="7"/>
  <c r="G59" i="7"/>
  <c r="G51" i="7"/>
  <c r="G43" i="7"/>
  <c r="G32" i="7"/>
  <c r="G29" i="7"/>
  <c r="G12" i="7"/>
  <c r="G78" i="7"/>
  <c r="G69" i="7"/>
  <c r="G45" i="7"/>
  <c r="G31" i="7"/>
  <c r="G23" i="7"/>
  <c r="G64" i="7"/>
  <c r="G56" i="7"/>
  <c r="G48" i="7"/>
  <c r="G40" i="7"/>
  <c r="G37" i="7"/>
  <c r="G26" i="7"/>
  <c r="G17" i="7"/>
  <c r="G75" i="7"/>
  <c r="G72" i="7"/>
  <c r="G66" i="7"/>
  <c r="G58" i="7"/>
  <c r="G50" i="7"/>
  <c r="G42" i="7"/>
  <c r="G28" i="7"/>
  <c r="G63" i="7"/>
  <c r="G55" i="7"/>
  <c r="G47" i="7"/>
  <c r="G39" i="7"/>
  <c r="G36" i="7"/>
  <c r="G25" i="7"/>
  <c r="G16" i="7"/>
  <c r="G80" i="7"/>
  <c r="G77" i="7"/>
  <c r="G71" i="7"/>
  <c r="G68" i="7"/>
  <c r="G60" i="7"/>
  <c r="G52" i="7"/>
  <c r="G44" i="7"/>
  <c r="G33" i="7"/>
  <c r="G30" i="7"/>
  <c r="G22" i="7"/>
  <c r="G19" i="7"/>
  <c r="G13" i="7"/>
  <c r="G74" i="7"/>
  <c r="G65" i="7"/>
  <c r="G57" i="7"/>
  <c r="G49" i="7"/>
  <c r="G41" i="7"/>
  <c r="G38" i="7"/>
  <c r="G27" i="7"/>
  <c r="G53" i="7"/>
  <c r="G15" i="7"/>
  <c r="G14" i="7"/>
  <c r="G11" i="7"/>
  <c r="G82" i="7"/>
  <c r="G10" i="7"/>
  <c r="H21" i="9"/>
  <c r="G17" i="9"/>
  <c r="H17" i="9"/>
  <c r="H22" i="9"/>
  <c r="H26" i="9"/>
  <c r="H23" i="9"/>
  <c r="H25" i="9"/>
  <c r="H20" i="9"/>
  <c r="H24" i="9"/>
  <c r="G69" i="4"/>
  <c r="G67" i="4"/>
  <c r="G65" i="4"/>
  <c r="G63" i="4"/>
  <c r="G61" i="4"/>
  <c r="G59" i="4"/>
  <c r="G54" i="4"/>
  <c r="G46" i="4"/>
  <c r="G41" i="4"/>
  <c r="G39" i="4"/>
  <c r="G82" i="4"/>
  <c r="G80" i="4"/>
  <c r="G76" i="4"/>
  <c r="G74" i="4"/>
  <c r="G51" i="4"/>
  <c r="G43" i="4"/>
  <c r="G37" i="4"/>
  <c r="G35" i="4"/>
  <c r="G33" i="4"/>
  <c r="G14" i="4"/>
  <c r="G78" i="4"/>
  <c r="G72" i="4"/>
  <c r="G56" i="4"/>
  <c r="G48" i="4"/>
  <c r="G31" i="4"/>
  <c r="G29" i="4"/>
  <c r="G27" i="4"/>
  <c r="G25" i="4"/>
  <c r="G23" i="4"/>
  <c r="G19" i="4"/>
  <c r="G68" i="4"/>
  <c r="G66" i="4"/>
  <c r="G64" i="4"/>
  <c r="G62" i="4"/>
  <c r="G60" i="4"/>
  <c r="G58" i="4"/>
  <c r="G50" i="4"/>
  <c r="G42" i="4"/>
  <c r="G40" i="4"/>
  <c r="G9" i="4"/>
  <c r="G81" i="4"/>
  <c r="G79" i="4"/>
  <c r="G77" i="4"/>
  <c r="G75" i="4"/>
  <c r="G55" i="4"/>
  <c r="G47" i="4"/>
  <c r="G38" i="4"/>
  <c r="G36" i="4"/>
  <c r="G34" i="4"/>
  <c r="G32" i="4"/>
  <c r="G73" i="4"/>
  <c r="G52" i="4"/>
  <c r="G44" i="4"/>
  <c r="G30" i="4"/>
  <c r="G28" i="4"/>
  <c r="G26" i="4"/>
  <c r="G24" i="4"/>
  <c r="G22" i="4"/>
  <c r="G18" i="4"/>
  <c r="G15" i="4"/>
  <c r="G71" i="4"/>
  <c r="G57" i="4"/>
  <c r="G49" i="4"/>
  <c r="G20" i="4"/>
  <c r="G21" i="4"/>
  <c r="G45" i="4"/>
  <c r="H9" i="4"/>
  <c r="G70" i="4"/>
  <c r="G53" i="4"/>
  <c r="G17" i="4"/>
  <c r="G16" i="4"/>
  <c r="G13" i="4"/>
  <c r="G12" i="4"/>
  <c r="H19" i="9"/>
  <c r="G9" i="7"/>
  <c r="I21" i="9" l="1"/>
  <c r="I22" i="9"/>
  <c r="I17" i="9"/>
  <c r="D34" i="9"/>
  <c r="I23" i="9"/>
  <c r="I26" i="9"/>
  <c r="M22" i="9"/>
  <c r="F34" i="9"/>
  <c r="I25" i="9"/>
  <c r="I20" i="9"/>
  <c r="I24" i="9"/>
  <c r="I19" i="9"/>
  <c r="K34" i="9" l="1"/>
  <c r="B68" i="9"/>
  <c r="G68" i="9" s="1"/>
  <c r="N50" i="9"/>
</calcChain>
</file>

<file path=xl/comments1.xml><?xml version="1.0" encoding="utf-8"?>
<comments xmlns="http://schemas.openxmlformats.org/spreadsheetml/2006/main">
  <authors>
    <author>CMSM / UGA - Anila Maria Correia Rodrigues</author>
  </authors>
  <commentList>
    <comment ref="D60" authorId="0" shapeId="0">
      <text>
        <r>
          <rPr>
            <b/>
            <sz val="9"/>
            <rFont val="Tahoma"/>
            <family val="2"/>
          </rPr>
          <t>CMSM / UGA - Anila Maria Correia Rodrigues:</t>
        </r>
        <r>
          <rPr>
            <sz val="9"/>
            <rFont val="Tahoma"/>
            <family val="2"/>
          </rPr>
          <t xml:space="preserve">
FFM</t>
        </r>
      </text>
    </comment>
    <comment ref="D61" authorId="0" shapeId="0">
      <text>
        <r>
          <rPr>
            <b/>
            <sz val="9"/>
            <rFont val="Tahoma"/>
            <family val="2"/>
          </rPr>
          <t>CMSM / UGA - Anila Maria Correia Rodrigues:</t>
        </r>
        <r>
          <rPr>
            <sz val="9"/>
            <rFont val="Tahoma"/>
            <family val="2"/>
          </rPr>
          <t xml:space="preserve">
DESCRIMINAÇÃO POSITIVA + trans MAA</t>
        </r>
      </text>
    </comment>
  </commentList>
</comments>
</file>

<file path=xl/comments2.xml><?xml version="1.0" encoding="utf-8"?>
<comments xmlns="http://schemas.openxmlformats.org/spreadsheetml/2006/main">
  <authors>
    <author>UtilizadorMD</author>
    <author>CMSM / UGA - Anila Maria Correia Rodrigues</author>
    <author>MAHOT - DGDAL - Karine Barbosa de Aguiar Sousa Brito</author>
  </authors>
  <commentList>
    <comment ref="O13" authorId="0" shapeId="0">
      <text>
        <r>
          <rPr>
            <b/>
            <sz val="9"/>
            <rFont val="Tahoma"/>
            <family val="2"/>
          </rPr>
          <t>UtilizadorMD:</t>
        </r>
        <r>
          <rPr>
            <sz val="9"/>
            <rFont val="Tahoma"/>
            <family val="2"/>
          </rPr>
          <t xml:space="preserve">
Salario vereadora Cesaltina</t>
        </r>
      </text>
    </comment>
    <comment ref="O14" authorId="0" shapeId="0">
      <text>
        <r>
          <rPr>
            <b/>
            <sz val="9"/>
            <rFont val="Tahoma"/>
            <family val="2"/>
          </rPr>
          <t>UtilizadorMD:</t>
        </r>
        <r>
          <rPr>
            <sz val="9"/>
            <rFont val="Tahoma"/>
            <family val="2"/>
          </rPr>
          <t xml:space="preserve">
Salario vereadora Cesaltina</t>
        </r>
      </text>
    </comment>
    <comment ref="O15" authorId="0" shapeId="0">
      <text>
        <r>
          <rPr>
            <b/>
            <sz val="9"/>
            <rFont val="Tahoma"/>
            <family val="2"/>
          </rPr>
          <t>UtilizadorMD:</t>
        </r>
        <r>
          <rPr>
            <sz val="9"/>
            <rFont val="Tahoma"/>
            <family val="2"/>
          </rPr>
          <t xml:space="preserve">
Salario vereadora Cesaltina</t>
        </r>
      </text>
    </comment>
    <comment ref="E103" authorId="1" shapeId="0">
      <text>
        <r>
          <rPr>
            <b/>
            <sz val="9"/>
            <rFont val="Tahoma"/>
            <family val="2"/>
          </rPr>
          <t>CMSM / UGA - Anila Maria Correia Rodrigues:</t>
        </r>
        <r>
          <rPr>
            <sz val="9"/>
            <rFont val="Tahoma"/>
            <family val="2"/>
          </rPr>
          <t xml:space="preserve">
previsão para pagamento de dividas anos anteriores</t>
        </r>
      </text>
    </comment>
    <comment ref="AA159" authorId="2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Alocado a 1 projecto de investimento</t>
        </r>
      </text>
    </comment>
    <comment ref="E163" authorId="2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leasing de viaturas_inv</t>
        </r>
      </text>
    </comment>
    <comment ref="E170" authorId="2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alocado INV</t>
        </r>
      </text>
    </comment>
  </commentList>
</comments>
</file>

<file path=xl/comments3.xml><?xml version="1.0" encoding="utf-8"?>
<comments xmlns="http://schemas.openxmlformats.org/spreadsheetml/2006/main">
  <authors>
    <author>MAHOT - DGDAL - Karine Barbosa de Aguiar Sousa Brito</author>
    <author>CMSM / UGA - Anila Maria Correia Rodrigues</author>
    <author>Larice Freire</author>
  </authors>
  <commentList>
    <comment ref="D45" authorId="0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Inclui Construção do Centro Desportivo e Cultural Mato Correia</t>
        </r>
      </text>
    </comment>
    <comment ref="D57" authorId="0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Oculos; cestas básicas,urnas</t>
        </r>
      </text>
    </comment>
    <comment ref="D88" authorId="1" shapeId="0">
      <text>
        <r>
          <rPr>
            <b/>
            <sz val="9"/>
            <rFont val="Tahoma"/>
            <family val="2"/>
          </rPr>
          <t>CMSM / UGA - Anila Maria Correia Rodrigues:</t>
        </r>
        <r>
          <rPr>
            <sz val="9"/>
            <rFont val="Tahoma"/>
            <family val="2"/>
          </rPr>
          <t xml:space="preserve">
financiado pelo governo 42,000,000$</t>
        </r>
      </text>
    </comment>
    <comment ref="D94" authorId="0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Fundo MAA</t>
        </r>
      </text>
    </comment>
    <comment ref="D103" authorId="2" shapeId="0">
      <text>
        <r>
          <rPr>
            <b/>
            <sz val="9"/>
            <rFont val="Tahoma"/>
            <family val="2"/>
          </rPr>
          <t>Larice Freire:</t>
        </r>
        <r>
          <rPr>
            <sz val="9"/>
            <rFont val="Tahoma"/>
            <family val="2"/>
          </rPr>
          <t xml:space="preserve">
palha carga,</t>
        </r>
      </text>
    </comment>
    <comment ref="D113" authorId="1" shapeId="0">
      <text>
        <r>
          <rPr>
            <b/>
            <sz val="9"/>
            <rFont val="Tahoma"/>
            <family val="2"/>
          </rPr>
          <t>CMSM / UGA - Anila Maria Correia Rodrigues:</t>
        </r>
        <r>
          <rPr>
            <sz val="9"/>
            <rFont val="Tahoma"/>
            <family val="2"/>
          </rPr>
          <t xml:space="preserve">
financiamento governo em vez de emprestimo</t>
        </r>
      </text>
    </comment>
    <comment ref="D119" authorId="0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PRRA</t>
        </r>
      </text>
    </comment>
    <comment ref="D122" authorId="0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MFIS ContratoPrograma</t>
        </r>
      </text>
    </comment>
  </commentList>
</comments>
</file>

<file path=xl/comments4.xml><?xml version="1.0" encoding="utf-8"?>
<comments xmlns="http://schemas.openxmlformats.org/spreadsheetml/2006/main">
  <authors>
    <author>UtilizadorMD</author>
  </authors>
  <commentList>
    <comment ref="G53" authorId="0" shapeId="0">
      <text>
        <r>
          <rPr>
            <b/>
            <sz val="9"/>
            <rFont val="Tahoma"/>
            <family val="2"/>
          </rPr>
          <t>UtilizadorMD:</t>
        </r>
        <r>
          <rPr>
            <sz val="9"/>
            <rFont val="Tahoma"/>
            <family val="2"/>
          </rPr>
          <t xml:space="preserve">
De acordo com o plano financeiro 2021</t>
        </r>
      </text>
    </comment>
    <comment ref="N53" authorId="0" shapeId="0">
      <text>
        <r>
          <rPr>
            <b/>
            <sz val="9"/>
            <rFont val="Tahoma"/>
            <family val="2"/>
          </rPr>
          <t>UtilizadorMD:</t>
        </r>
        <r>
          <rPr>
            <sz val="9"/>
            <rFont val="Tahoma"/>
            <family val="2"/>
          </rPr>
          <t xml:space="preserve">
De acordo com o plano financeiro 2021</t>
        </r>
      </text>
    </comment>
  </commentList>
</comments>
</file>

<file path=xl/comments5.xml><?xml version="1.0" encoding="utf-8"?>
<comments xmlns="http://schemas.openxmlformats.org/spreadsheetml/2006/main">
  <authors>
    <author>MAHOT - DGDAL - Karine Barbosa de Aguiar Sousa Brito</author>
    <author>CMSM / UGA - Anila Maria Correia Rodrigues</author>
    <author>Larice Freire</author>
  </authors>
  <commentList>
    <comment ref="D13" authorId="0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Inclui Construção do Centro Desportivo e Cultural Mato Correia</t>
        </r>
      </text>
    </comment>
    <comment ref="D18" authorId="0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Oculos; cestas básicas,urnas</t>
        </r>
      </text>
    </comment>
    <comment ref="D34" authorId="1" shapeId="0">
      <text>
        <r>
          <rPr>
            <b/>
            <sz val="9"/>
            <rFont val="Tahoma"/>
            <family val="2"/>
          </rPr>
          <t>CMSM / UGA - Anila Maria Correia Rodrigues:</t>
        </r>
        <r>
          <rPr>
            <sz val="9"/>
            <rFont val="Tahoma"/>
            <family val="2"/>
          </rPr>
          <t xml:space="preserve">
financiado pelo governo 42,000,000$</t>
        </r>
      </text>
    </comment>
    <comment ref="D40" authorId="0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Fundo MAA</t>
        </r>
      </text>
    </comment>
    <comment ref="D45" authorId="2" shapeId="0">
      <text>
        <r>
          <rPr>
            <b/>
            <sz val="9"/>
            <rFont val="Tahoma"/>
            <family val="2"/>
          </rPr>
          <t>Larice Freire:</t>
        </r>
        <r>
          <rPr>
            <sz val="9"/>
            <rFont val="Tahoma"/>
            <family val="2"/>
          </rPr>
          <t xml:space="preserve">
palha carga,</t>
        </r>
      </text>
    </comment>
    <comment ref="D56" authorId="1" shapeId="0">
      <text>
        <r>
          <rPr>
            <b/>
            <sz val="9"/>
            <rFont val="Tahoma"/>
            <family val="2"/>
          </rPr>
          <t>CMSM / UGA - Anila Maria Correia Rodrigues:</t>
        </r>
        <r>
          <rPr>
            <sz val="9"/>
            <rFont val="Tahoma"/>
            <family val="2"/>
          </rPr>
          <t xml:space="preserve">
financiamento governo em vez de emprestimo</t>
        </r>
      </text>
    </comment>
    <comment ref="D59" authorId="0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PRRA</t>
        </r>
      </text>
    </comment>
    <comment ref="D60" authorId="0" shapeId="0">
      <text>
        <r>
          <rPr>
            <b/>
            <sz val="9"/>
            <rFont val="Tahoma"/>
            <family val="2"/>
          </rPr>
          <t>MAHOT - DGDAL - Karine Barbosa de Aguiar Sousa Brito:</t>
        </r>
        <r>
          <rPr>
            <sz val="9"/>
            <rFont val="Tahoma"/>
            <family val="2"/>
          </rPr>
          <t xml:space="preserve">
MFIS ContratoPrograma</t>
        </r>
      </text>
    </comment>
  </commentList>
</comments>
</file>

<file path=xl/sharedStrings.xml><?xml version="1.0" encoding="utf-8"?>
<sst xmlns="http://schemas.openxmlformats.org/spreadsheetml/2006/main" count="3198" uniqueCount="1134">
  <si>
    <t>MUNICIPIO DE SÃO MIGUEL</t>
  </si>
  <si>
    <t>Câmara Municipal</t>
  </si>
  <si>
    <t>Orçamento 2022</t>
  </si>
  <si>
    <t>MAPA I - Receitas e Ativos não financeiros  do Municipio, especificado segundo uma classificação económica e orgânica</t>
  </si>
  <si>
    <t>Código</t>
  </si>
  <si>
    <t>Designação</t>
  </si>
  <si>
    <t>Administração Directa</t>
  </si>
  <si>
    <t>Investimentos</t>
  </si>
  <si>
    <t>Total Geral</t>
  </si>
  <si>
    <t>01.</t>
  </si>
  <si>
    <t>ADA</t>
  </si>
  <si>
    <t>SEPAMP</t>
  </si>
  <si>
    <t>01.01</t>
  </si>
  <si>
    <t>IMPOSTOS</t>
  </si>
  <si>
    <t>Impostos</t>
  </si>
  <si>
    <t>35.01.01</t>
  </si>
  <si>
    <t>34.01.01</t>
  </si>
  <si>
    <t>01.01.03</t>
  </si>
  <si>
    <t>Imposto  sobre Património</t>
  </si>
  <si>
    <t>em 2010 ñ foi orçado</t>
  </si>
  <si>
    <t>35.01.01.03</t>
  </si>
  <si>
    <t>34.01.01.03</t>
  </si>
  <si>
    <t>01.01.03.01</t>
  </si>
  <si>
    <t>35.01.01.03.01</t>
  </si>
  <si>
    <t>34.01.01.03.01</t>
  </si>
  <si>
    <t>01.01.03.01.01</t>
  </si>
  <si>
    <t>35.01.01.03.01.01</t>
  </si>
  <si>
    <t>34.01.01.03.01.01</t>
  </si>
  <si>
    <t>01.01.03.01.02</t>
  </si>
  <si>
    <t>35.01.01.03.01.02</t>
  </si>
  <si>
    <t>34.01.01.03.01.02</t>
  </si>
  <si>
    <t>01.01.04</t>
  </si>
  <si>
    <t>Impostos Sobre Bens e Servisos</t>
  </si>
  <si>
    <t>35.01.01.04</t>
  </si>
  <si>
    <t>34.01.01.04</t>
  </si>
  <si>
    <t>01.01.04.01</t>
  </si>
  <si>
    <t>35.01.01.04.01</t>
  </si>
  <si>
    <t>34.01.01.04.01</t>
  </si>
  <si>
    <t>01.01.04.01.02</t>
  </si>
  <si>
    <t>35.01.01.04.01.02</t>
  </si>
  <si>
    <t>34.01.01.04.01.02</t>
  </si>
  <si>
    <t>01.01.04.01.02.01</t>
  </si>
  <si>
    <t>35.01.01.04.01.02.01</t>
  </si>
  <si>
    <t>34.01.01.04.01.02.01</t>
  </si>
  <si>
    <t>01.01.04.02</t>
  </si>
  <si>
    <t>35.01.01.04.02</t>
  </si>
  <si>
    <t>34.01.01.04.02</t>
  </si>
  <si>
    <t>01.01.04.02.01</t>
  </si>
  <si>
    <t>35.01.01.04.02.01</t>
  </si>
  <si>
    <t>34.01.01.04.02.01</t>
  </si>
  <si>
    <t>01.01.04.03</t>
  </si>
  <si>
    <t>35.01.01.04.03</t>
  </si>
  <si>
    <t>34.01.01.04.03</t>
  </si>
  <si>
    <t>01.01.04.04</t>
  </si>
  <si>
    <t>35.01.01.04.04</t>
  </si>
  <si>
    <t>34.01.01.04.04</t>
  </si>
  <si>
    <t>01.01.04.04.01</t>
  </si>
  <si>
    <t>35.01.01.04.04.01</t>
  </si>
  <si>
    <t>34.01.01.04.04.01</t>
  </si>
  <si>
    <t>01.01.04.04.09</t>
  </si>
  <si>
    <t>35.01.01.04.04.09</t>
  </si>
  <si>
    <t>34.01.01.04.04.09</t>
  </si>
  <si>
    <t>01.01.04.05</t>
  </si>
  <si>
    <t>35.01.01.04.05</t>
  </si>
  <si>
    <t>34.01.01.04.05</t>
  </si>
  <si>
    <t>01.01.04.05.01</t>
  </si>
  <si>
    <t>35.01.01.04.05.01</t>
  </si>
  <si>
    <t>34.01.01.04.05.01</t>
  </si>
  <si>
    <t>01.01.04.06</t>
  </si>
  <si>
    <t>35.01.01.04.06</t>
  </si>
  <si>
    <t>34.01.01.04.06</t>
  </si>
  <si>
    <t>01.01.06.01</t>
  </si>
  <si>
    <t>Imposto Selo</t>
  </si>
  <si>
    <t>01.01.06.01.01</t>
  </si>
  <si>
    <t>Outros (Selo)</t>
  </si>
  <si>
    <t>01.03</t>
  </si>
  <si>
    <t>Tranferencias</t>
  </si>
  <si>
    <t>35.01.03</t>
  </si>
  <si>
    <t>34.01.03</t>
  </si>
  <si>
    <t>01.03.01</t>
  </si>
  <si>
    <t>Do Governos Estrangeiros</t>
  </si>
  <si>
    <t>35.01.03.01</t>
  </si>
  <si>
    <t>34.01.03.01</t>
  </si>
  <si>
    <t>01.03.01.01</t>
  </si>
  <si>
    <t>35.01.03.01.01</t>
  </si>
  <si>
    <t>34.01.03.01.01</t>
  </si>
  <si>
    <t>01.03.01.01.01</t>
  </si>
  <si>
    <t>35.01.03.01.01.01</t>
  </si>
  <si>
    <t>34.01.03.01.01.01</t>
  </si>
  <si>
    <t>01.03.01.01.02</t>
  </si>
  <si>
    <t>35.01.03.01.01.02</t>
  </si>
  <si>
    <t>34.01.03.01.01.02</t>
  </si>
  <si>
    <t>01.03.01.01.03</t>
  </si>
  <si>
    <t>35.01.03.01.01.03</t>
  </si>
  <si>
    <t>34.01.03.01.01.03</t>
  </si>
  <si>
    <t>01.03.01.01.09</t>
  </si>
  <si>
    <t>35.01.03.01.01.09</t>
  </si>
  <si>
    <t>34.01.03.01.01.09</t>
  </si>
  <si>
    <t>01.03.01.02</t>
  </si>
  <si>
    <t>35.01.03.01.02</t>
  </si>
  <si>
    <t>34.01.03.01.02</t>
  </si>
  <si>
    <t>01.03.01.02.01</t>
  </si>
  <si>
    <t>35.01.03.01.02.01</t>
  </si>
  <si>
    <t>34.01.03.01.02.01</t>
  </si>
  <si>
    <t>01.03.01.02.02</t>
  </si>
  <si>
    <t>35.01.03.01.02.02</t>
  </si>
  <si>
    <t>34.01.03.01.02.02</t>
  </si>
  <si>
    <t>01.03.01.02.03</t>
  </si>
  <si>
    <t>35.01.03.01.02.03</t>
  </si>
  <si>
    <t>34.01.03.01.02.03</t>
  </si>
  <si>
    <t>01.03.01.02.09</t>
  </si>
  <si>
    <t>35.01.03.01.02.09</t>
  </si>
  <si>
    <t>34.01.03.01.02.09</t>
  </si>
  <si>
    <t>01.03.02</t>
  </si>
  <si>
    <t>De Organizações Internacionais</t>
  </si>
  <si>
    <t>35.01.03.02</t>
  </si>
  <si>
    <t>34.01.03.02</t>
  </si>
  <si>
    <t>01.03.02.01</t>
  </si>
  <si>
    <t>35.01.03.02.01</t>
  </si>
  <si>
    <t>34.01.03.02.01</t>
  </si>
  <si>
    <t>01.03.02.01.01</t>
  </si>
  <si>
    <t>35.01.03.02.01.01</t>
  </si>
  <si>
    <t>34.01.03.02.01.01</t>
  </si>
  <si>
    <t>01.03.02.01.02</t>
  </si>
  <si>
    <t>35.01.03.02.01.02</t>
  </si>
  <si>
    <t>34.01.03.02.01.02</t>
  </si>
  <si>
    <t>01.03.02.01.03</t>
  </si>
  <si>
    <t>35.01.03.02.01.03</t>
  </si>
  <si>
    <t>34.01.03.02.01.03</t>
  </si>
  <si>
    <t>01.03.02.01.09</t>
  </si>
  <si>
    <t>35.01.03.02.01.09</t>
  </si>
  <si>
    <t>34.01.03.02.01.09</t>
  </si>
  <si>
    <t>01.03.02.02</t>
  </si>
  <si>
    <t>35.01.03.02.02</t>
  </si>
  <si>
    <t>34.01.03.02.02</t>
  </si>
  <si>
    <t>01.03.02.02.01</t>
  </si>
  <si>
    <t>35.01.03.02.02.01</t>
  </si>
  <si>
    <t>34.01.03.02.02.01</t>
  </si>
  <si>
    <t>01.03.02.02.02</t>
  </si>
  <si>
    <t>35.01.03.02.02.02</t>
  </si>
  <si>
    <t>34.01.03.02.02.02</t>
  </si>
  <si>
    <t>01.03.02.02.03</t>
  </si>
  <si>
    <t>35.01.03.02.02.03</t>
  </si>
  <si>
    <t>34.01.03.02.02.03</t>
  </si>
  <si>
    <t>01.03.02.02.09</t>
  </si>
  <si>
    <t>35.01.03.02.02.09</t>
  </si>
  <si>
    <t>34.01.03.02.02.09</t>
  </si>
  <si>
    <t>01.03.03</t>
  </si>
  <si>
    <t>Das Administrações Públicas</t>
  </si>
  <si>
    <t>35.01.03.03</t>
  </si>
  <si>
    <t>34.01.03.03</t>
  </si>
  <si>
    <t>01.03.03.01</t>
  </si>
  <si>
    <t>35.01.03.03.01</t>
  </si>
  <si>
    <t>34.01.03.03.01</t>
  </si>
  <si>
    <t>01.03.03.01.01</t>
  </si>
  <si>
    <t>35.01.03.03.01.01</t>
  </si>
  <si>
    <t>34.01.03.03.01.01</t>
  </si>
  <si>
    <t>01.03.03.01.02</t>
  </si>
  <si>
    <t>35.01.03.03.01.02</t>
  </si>
  <si>
    <t>34.01.03.03.01.02</t>
  </si>
  <si>
    <t>01.03.03.02</t>
  </si>
  <si>
    <t>35.01.03.03.02</t>
  </si>
  <si>
    <t>34.01.03.03.02</t>
  </si>
  <si>
    <t>01.03.03.02.01</t>
  </si>
  <si>
    <t>35.01.03.03.02.01</t>
  </si>
  <si>
    <t>34.01.03.03.02.01</t>
  </si>
  <si>
    <t>01.03.03.02.02</t>
  </si>
  <si>
    <t>35.01.03.03.02.02</t>
  </si>
  <si>
    <t>34.01.03.03.02.02</t>
  </si>
  <si>
    <t>01.04</t>
  </si>
  <si>
    <t>Outras Receitas</t>
  </si>
  <si>
    <t>35.01.04</t>
  </si>
  <si>
    <t>34.01.04</t>
  </si>
  <si>
    <t>01.04.01</t>
  </si>
  <si>
    <t>Rendimentos de Propriedade</t>
  </si>
  <si>
    <t>35.01.04.01</t>
  </si>
  <si>
    <t>34.01.04.01</t>
  </si>
  <si>
    <t>01.04.01.01</t>
  </si>
  <si>
    <t>35.01.04.01.01</t>
  </si>
  <si>
    <t>34.01.04.01.01</t>
  </si>
  <si>
    <t>01.04.01.02</t>
  </si>
  <si>
    <t>35.01.04.01.02</t>
  </si>
  <si>
    <t>34.01.04.01.02</t>
  </si>
  <si>
    <t>01.04.01.03</t>
  </si>
  <si>
    <t>35.01.04.01.03</t>
  </si>
  <si>
    <t>34.01.04.01.03</t>
  </si>
  <si>
    <t>01.04.01.04</t>
  </si>
  <si>
    <t>35.01.04.01.04</t>
  </si>
  <si>
    <t>34.01.04.01.04</t>
  </si>
  <si>
    <t xml:space="preserve">01.04.01.05 </t>
  </si>
  <si>
    <t xml:space="preserve">35.01.04.01.05 </t>
  </si>
  <si>
    <t xml:space="preserve">34.01.04.01.05 </t>
  </si>
  <si>
    <t>01.04.01.05 .01</t>
  </si>
  <si>
    <t>35.01.04.01.05 .01</t>
  </si>
  <si>
    <t>34.01.04.01.05 .01</t>
  </si>
  <si>
    <t>01.04.01.05 .02</t>
  </si>
  <si>
    <t>35.01.04.01.05 .02</t>
  </si>
  <si>
    <t>34.01.04.01.05 .02</t>
  </si>
  <si>
    <t>01.04.01.05 .03</t>
  </si>
  <si>
    <t>35.01.04.01.05 .03</t>
  </si>
  <si>
    <t>34.01.04.01.05 .03</t>
  </si>
  <si>
    <t>01.04.01.05 .04</t>
  </si>
  <si>
    <t>35.01.04.01.05 .04</t>
  </si>
  <si>
    <t>34.01.04.01.05 .04</t>
  </si>
  <si>
    <t>01.04.01.05 .05</t>
  </si>
  <si>
    <t>35.01.04.01.05 .05</t>
  </si>
  <si>
    <t>34.01.04.01.05 .05</t>
  </si>
  <si>
    <t>01.04.01.05 .06</t>
  </si>
  <si>
    <t>35.01.04.01.05 .06</t>
  </si>
  <si>
    <t>34.01.04.01.05 .06</t>
  </si>
  <si>
    <t>01.04.01.05 .07</t>
  </si>
  <si>
    <t>35.01.04.01.05 .07</t>
  </si>
  <si>
    <t>34.01.04.01.05 .07</t>
  </si>
  <si>
    <t>01.04.01.05 .09</t>
  </si>
  <si>
    <t>35.01.04.01.05 .09</t>
  </si>
  <si>
    <t>34.01.04.01.05 .09</t>
  </si>
  <si>
    <t>01.04.02</t>
  </si>
  <si>
    <t>Vendas De Bens e Serviços</t>
  </si>
  <si>
    <t>35.01.04.02</t>
  </si>
  <si>
    <t>34.01.04.02</t>
  </si>
  <si>
    <t>01.04.02.01</t>
  </si>
  <si>
    <t>35.01.04.02.01</t>
  </si>
  <si>
    <t>34.01.04.02.01</t>
  </si>
  <si>
    <t>01.04.02.01.03</t>
  </si>
  <si>
    <t>35.01.04.02.01.03</t>
  </si>
  <si>
    <t>34.01.04.02.01.03</t>
  </si>
  <si>
    <t>01.04.02.02</t>
  </si>
  <si>
    <t>35.01.04.02.02</t>
  </si>
  <si>
    <t>34.01.04.02.02</t>
  </si>
  <si>
    <t>01.04.02.02.01</t>
  </si>
  <si>
    <t>35.01.04.02.02.01</t>
  </si>
  <si>
    <t>34.01.04.02.02.01</t>
  </si>
  <si>
    <t>01.04.02.02.01.00.02</t>
  </si>
  <si>
    <t>35.01.04.02.02.01.00.02</t>
  </si>
  <si>
    <t>34.01.04.02.02.01.00.02</t>
  </si>
  <si>
    <t>01.04.02.02.01.00.07</t>
  </si>
  <si>
    <t>35.01.04.02.02.01.00.07</t>
  </si>
  <si>
    <t>34.01.04.02.02.01.00.07</t>
  </si>
  <si>
    <t>01.04.02.02.01.00.08</t>
  </si>
  <si>
    <t>35.01.04.02.02.01.00.08</t>
  </si>
  <si>
    <t>34.01.04.02.02.01.00.08</t>
  </si>
  <si>
    <t>01.04.02.02.01.00.09</t>
  </si>
  <si>
    <t>35.01.04.02.02.01.00.09</t>
  </si>
  <si>
    <t>34.01.04.02.02.01.00.09</t>
  </si>
  <si>
    <t>01.04.02.02.01.01.00</t>
  </si>
  <si>
    <t>35.01.04.02.02.01.01.00</t>
  </si>
  <si>
    <t>34.01.04.02.02.01.01.00</t>
  </si>
  <si>
    <t>01.04.02.02.01.01.01</t>
  </si>
  <si>
    <t>35.01.04.02.02.01.01.01</t>
  </si>
  <si>
    <t>34.01.04.02.02.01.01.01</t>
  </si>
  <si>
    <t>01.04.02.02.01.01.02</t>
  </si>
  <si>
    <t>35.01.04.02.02.01.01.02</t>
  </si>
  <si>
    <t>34.01.04.02.02.01.01.02</t>
  </si>
  <si>
    <t>01.04.02.02.01.01.03</t>
  </si>
  <si>
    <t>35.01.04.02.02.01.01.03</t>
  </si>
  <si>
    <t>34.01.04.02.02.01.01.03</t>
  </si>
  <si>
    <t>01.04.02.02.01.01.04</t>
  </si>
  <si>
    <t>35.01.04.02.02.01.01.04</t>
  </si>
  <si>
    <t>34.01.04.02.02.01.01.04</t>
  </si>
  <si>
    <t>01.04.02.02.01.01.05</t>
  </si>
  <si>
    <t>Taxa de estacionamento de veiculos em parques ou outros locais a esse fim destinado</t>
  </si>
  <si>
    <t>01.04.02.02.01.01.07</t>
  </si>
  <si>
    <t>35.01.04.02.02.01.01.07</t>
  </si>
  <si>
    <t>34.01.04.02.02.01.01.07</t>
  </si>
  <si>
    <t>01.04.02.02.01.01.08</t>
  </si>
  <si>
    <t>35.01.04.02.02.01.01.08</t>
  </si>
  <si>
    <t>34.01.04.02.02.01.01.08</t>
  </si>
  <si>
    <t>01.04.02.02.01.01.09</t>
  </si>
  <si>
    <t>35.01.04.02.02.01.01.09</t>
  </si>
  <si>
    <t>34.01.04.02.02.01.01.09</t>
  </si>
  <si>
    <t>01.04.02.02.01.02.00</t>
  </si>
  <si>
    <t>35.01.04.02.02.01.02.00</t>
  </si>
  <si>
    <t>34.01.04.02.02.01.02.00</t>
  </si>
  <si>
    <t>01.04.02.02.01.02.01</t>
  </si>
  <si>
    <t>35.01.04.02.02.01.02.01</t>
  </si>
  <si>
    <t>34.01.04.02.02.01.02.01</t>
  </si>
  <si>
    <t>01.04.02.02.01.02.02</t>
  </si>
  <si>
    <t>35.01.04.02.02.01.02.02</t>
  </si>
  <si>
    <t>34.01.04.02.02.01.02.02</t>
  </si>
  <si>
    <t>01.04.02.02.01.02.03</t>
  </si>
  <si>
    <t>35.01.04.02.02.01.02.03</t>
  </si>
  <si>
    <t>34.01.04.02.02.01.02.03</t>
  </si>
  <si>
    <t>01.04.02.02.01.02.04</t>
  </si>
  <si>
    <t>35.01.04.02.02.01.02.04</t>
  </si>
  <si>
    <t>34.01.04.02.02.01.02.04</t>
  </si>
  <si>
    <t>01.04.02.02.01.02.05</t>
  </si>
  <si>
    <t>35.01.04.02.02.01.02.05</t>
  </si>
  <si>
    <t>34.01.04.02.02.01.02.05</t>
  </si>
  <si>
    <t>01.04.02.02.01.02.06</t>
  </si>
  <si>
    <t>35.01.04.02.02.01.02.06</t>
  </si>
  <si>
    <t>34.01.04.02.02.01.02.06</t>
  </si>
  <si>
    <t>01.04.02.02.01.02.07</t>
  </si>
  <si>
    <t>35.01.04.02.02.01.02.07</t>
  </si>
  <si>
    <t>34.01.04.02.02.01.02.07</t>
  </si>
  <si>
    <t>01.04.02.02.01.02.08</t>
  </si>
  <si>
    <t>35.01.04.02.02.01.02.08</t>
  </si>
  <si>
    <t>34.01.04.02.02.01.02.08</t>
  </si>
  <si>
    <t>01.04.02.02.01.02.09</t>
  </si>
  <si>
    <t>35.01.04.02.02.01.02.09</t>
  </si>
  <si>
    <t>34.01.04.02.02.01.02.09</t>
  </si>
  <si>
    <t>01.04.02.02.01.03.00</t>
  </si>
  <si>
    <t>35.01.04.02.02.01.03.00</t>
  </si>
  <si>
    <t>34.01.04.02.02.01.03.00</t>
  </si>
  <si>
    <t>01.04.02.02.01.03.01</t>
  </si>
  <si>
    <t>35.01.04.02.02.01.03.01</t>
  </si>
  <si>
    <t>34.01.04.02.02.01.03.01</t>
  </si>
  <si>
    <t>01.04.02.02.01.03.02</t>
  </si>
  <si>
    <t>35.01.04.02.02.01.03.02</t>
  </si>
  <si>
    <t>34.01.04.02.02.01.03.02</t>
  </si>
  <si>
    <t>01.04.02.02.01.03.03</t>
  </si>
  <si>
    <t>35.01.04.02.02.01.03.03</t>
  </si>
  <si>
    <t>34.01.04.02.02.01.03.03</t>
  </si>
  <si>
    <t>01.04.02.02.01.03.04</t>
  </si>
  <si>
    <t>35.01.04.02.02.01.03.04</t>
  </si>
  <si>
    <t>34.01.04.02.02.01.03.04</t>
  </si>
  <si>
    <t>01.04.02.02.01.09.09</t>
  </si>
  <si>
    <t>Outras Taxas</t>
  </si>
  <si>
    <t>35.01.04.02.02.01.03.09</t>
  </si>
  <si>
    <t>34.01.04.02.02.01.03.09</t>
  </si>
  <si>
    <t>01.04.02.02.02</t>
  </si>
  <si>
    <t>35.01.04.02.02.02</t>
  </si>
  <si>
    <t>34.01.04.02.02.02</t>
  </si>
  <si>
    <t>01.04.02.02.02.02</t>
  </si>
  <si>
    <t>35.01.04.02.02.02.02</t>
  </si>
  <si>
    <t>34.01.04.02.02.02.02</t>
  </si>
  <si>
    <t>01.04.02.03</t>
  </si>
  <si>
    <t>Taxas de outros serviços</t>
  </si>
  <si>
    <t>01.04.02.03.09</t>
  </si>
  <si>
    <t>Outros</t>
  </si>
  <si>
    <t>01.04.02.04</t>
  </si>
  <si>
    <t>35.01.04.02.04</t>
  </si>
  <si>
    <t>34.01.04.02.04</t>
  </si>
  <si>
    <t>01.04.02.04.09</t>
  </si>
  <si>
    <t>35.01.04.02.04.09</t>
  </si>
  <si>
    <t>34.01.04.02.04.09</t>
  </si>
  <si>
    <t>01.04.03</t>
  </si>
  <si>
    <t>Multas e outras Penalidades</t>
  </si>
  <si>
    <t>35.01.04.03</t>
  </si>
  <si>
    <t>34.01.04.03</t>
  </si>
  <si>
    <t>01.04.03.04</t>
  </si>
  <si>
    <t>35.01.04.03.04</t>
  </si>
  <si>
    <t>34.01.04.03.04</t>
  </si>
  <si>
    <t>01.04.03.05</t>
  </si>
  <si>
    <t>35.01.04.03.05</t>
  </si>
  <si>
    <t>34.01.04.03.05</t>
  </si>
  <si>
    <t>01.04.03.06</t>
  </si>
  <si>
    <t>35.01.04.03.06</t>
  </si>
  <si>
    <t>34.01.04.03.06</t>
  </si>
  <si>
    <t>01.04.03.07</t>
  </si>
  <si>
    <t>35.01.04.03.07</t>
  </si>
  <si>
    <t>34.01.04.03.07</t>
  </si>
  <si>
    <t>01.04.04</t>
  </si>
  <si>
    <t>Outras transferências</t>
  </si>
  <si>
    <t>35.01.04.04</t>
  </si>
  <si>
    <t>34.01.04.04</t>
  </si>
  <si>
    <t>01.04.04.01</t>
  </si>
  <si>
    <t>35.01.04.04.01</t>
  </si>
  <si>
    <t>34.01.04.04.01</t>
  </si>
  <si>
    <t>01.04.04.02</t>
  </si>
  <si>
    <t>35.01.04.04.02</t>
  </si>
  <si>
    <t>34.01.04.04.02</t>
  </si>
  <si>
    <t>01.04.05</t>
  </si>
  <si>
    <t>Outras Receitas Diversas e não especificádas</t>
  </si>
  <si>
    <t>35.01.04.05</t>
  </si>
  <si>
    <t>34.01.04.05</t>
  </si>
  <si>
    <t>01.04.05.02</t>
  </si>
  <si>
    <t>35.01.04.05.02</t>
  </si>
  <si>
    <t>34.01.04.05.02</t>
  </si>
  <si>
    <t xml:space="preserve">03.01.01.01.01.01.02 </t>
  </si>
  <si>
    <t>Receitas Não Fiscais</t>
  </si>
  <si>
    <t>Transferências de Capital</t>
  </si>
  <si>
    <t>03.01.01.02.04.02</t>
  </si>
  <si>
    <t>03.01.04.01.02.02</t>
  </si>
  <si>
    <t>Vendas de terrenos do domínio público</t>
  </si>
  <si>
    <t>03.01.01.06.02</t>
  </si>
  <si>
    <t>Outras Construções - Vendas</t>
  </si>
  <si>
    <t>Calheta de São Miguel, 30 de outubro de 2021.</t>
  </si>
  <si>
    <t>O Presidente da Câmara Municipal</t>
  </si>
  <si>
    <t>_____________________________________________</t>
  </si>
  <si>
    <t>Herménio Celso Fernandes</t>
  </si>
  <si>
    <t>Operações Activas</t>
  </si>
  <si>
    <t>Contas de Ordem</t>
  </si>
  <si>
    <t>Operações de Tesouraria</t>
  </si>
  <si>
    <t>Receitas Fiscais</t>
  </si>
  <si>
    <t>Taxas e Preços Públicos</t>
  </si>
  <si>
    <t>Bens e Serviços não Patrimoniais</t>
  </si>
  <si>
    <t>Transferências Correntes</t>
  </si>
  <si>
    <t>Venda de Bens Duradouros</t>
  </si>
  <si>
    <t>Venda de Serviços e Bens não Duradouros</t>
  </si>
  <si>
    <t>Outras Receitas Correntes</t>
  </si>
  <si>
    <t>Imobilizações Corpóreas</t>
  </si>
  <si>
    <t xml:space="preserve">Impostos </t>
  </si>
  <si>
    <t>Outras Receitas Fiscais</t>
  </si>
  <si>
    <t>Multa por infracções fiscais</t>
  </si>
  <si>
    <t>Câmara Municipal de São Miguel</t>
  </si>
  <si>
    <t>MAPA II - DESPESA DE FUNCIONAMENTO E DE INVESTIMENTO DO MUNICÍPIO SEGUNDO AS CLASSIFICAÇÕES ECONÓMICA E ORGÂNICA</t>
  </si>
  <si>
    <t>Descrição</t>
  </si>
  <si>
    <t>Unidade Orgânica</t>
  </si>
  <si>
    <t>Peso no ORC</t>
  </si>
  <si>
    <t>Assembleia Municipal</t>
  </si>
  <si>
    <t>Gabinete Presidente</t>
  </si>
  <si>
    <t>Direção Financeira</t>
  </si>
  <si>
    <t xml:space="preserve">Dir.Ambiente e Saneamento </t>
  </si>
  <si>
    <t>Dir. Proteção Civil</t>
  </si>
  <si>
    <t xml:space="preserve">Dir. Juventude e Cultura </t>
  </si>
  <si>
    <t>Direção de Inovação e Desporto</t>
  </si>
  <si>
    <t>Dir. do Comércio, Indústria, Transporte Feiras e Pesca</t>
  </si>
  <si>
    <t>Dir. Turismo, Investimento e Emprendedorismo</t>
  </si>
  <si>
    <t>Direçao da Habitação</t>
  </si>
  <si>
    <t>Direção da Educação, Formação Profissional, Emprego</t>
  </si>
  <si>
    <t>Direcao da Familia, Inclusão, Genero e Saúde</t>
  </si>
  <si>
    <t>Dir. Recursos Humanos</t>
  </si>
  <si>
    <t>Dir. da Agricultura, Pecuaria e Floresta</t>
  </si>
  <si>
    <t>Delegações Municipais</t>
  </si>
  <si>
    <t>Unidade Gestão de Aquisições</t>
  </si>
  <si>
    <t>Gabinete da Auditoria Interna</t>
  </si>
  <si>
    <t>Gabinete de Gestão e Controlo de Qualidade</t>
  </si>
  <si>
    <t>Direção dos Assuntos Jurídicos, Fiscalização e Policia Municipal</t>
  </si>
  <si>
    <t>Gabinete de relações Externas</t>
  </si>
  <si>
    <t>Gabinete de Gestão de Projetos</t>
  </si>
  <si>
    <t>Gabinete de comunicação e Imagem</t>
  </si>
  <si>
    <t>Direção de Obras</t>
  </si>
  <si>
    <t>Direção de Urbanismo</t>
  </si>
  <si>
    <t xml:space="preserve">D E S P E S A S   </t>
  </si>
  <si>
    <t>02.01</t>
  </si>
  <si>
    <t>Despesas com o pessoal</t>
  </si>
  <si>
    <t>02.01.01</t>
  </si>
  <si>
    <t>Remunerações certas e Permanentes</t>
  </si>
  <si>
    <t>cc</t>
  </si>
  <si>
    <t>Total</t>
  </si>
  <si>
    <t>02.01.01.01</t>
  </si>
  <si>
    <t>Remunerações e abonos</t>
  </si>
  <si>
    <t>02.01.01.01.01</t>
  </si>
  <si>
    <t>Pessoal dos quadros especiais</t>
  </si>
  <si>
    <t>02.01.01.02.07</t>
  </si>
  <si>
    <t>02.01.01.01.02</t>
  </si>
  <si>
    <t>Pessoal do quadro</t>
  </si>
  <si>
    <t>02.01.01.01.03</t>
  </si>
  <si>
    <t>Pessoal contratado</t>
  </si>
  <si>
    <t>02.02.02.01.03.01</t>
  </si>
  <si>
    <t>02.01.01.01.04</t>
  </si>
  <si>
    <t>Pessoal em regime de avença</t>
  </si>
  <si>
    <t>02.01.01.02</t>
  </si>
  <si>
    <t>Abonos variáveis ou eventuais</t>
  </si>
  <si>
    <t>02.01.01.02.01</t>
  </si>
  <si>
    <t>Gratificações permanentes</t>
  </si>
  <si>
    <t>02.07.02.01</t>
  </si>
  <si>
    <t>02.01.01.02.02</t>
  </si>
  <si>
    <t>Subsídios permanentes</t>
  </si>
  <si>
    <t>02.01.01.02.03</t>
  </si>
  <si>
    <t>Despesas de representação</t>
  </si>
  <si>
    <t>02.08.02</t>
  </si>
  <si>
    <t>02.01.01.02.04</t>
  </si>
  <si>
    <t>Gratificações eventuais</t>
  </si>
  <si>
    <t>02.01.01.02.05</t>
  </si>
  <si>
    <t>Horas extraordinárias</t>
  </si>
  <si>
    <t>02.01.01.02.06</t>
  </si>
  <si>
    <t>Alimentação e alojamento</t>
  </si>
  <si>
    <t xml:space="preserve">02.01.01.02.07 </t>
  </si>
  <si>
    <t>Formação</t>
  </si>
  <si>
    <t>02.01.01.02.08</t>
  </si>
  <si>
    <t>Subsídio de Instalação</t>
  </si>
  <si>
    <t>02.01.01.02.09</t>
  </si>
  <si>
    <t>Outros suplementos e abonos</t>
  </si>
  <si>
    <t>02.01.01.03</t>
  </si>
  <si>
    <t>Dotação provisional</t>
  </si>
  <si>
    <t>03.01.01.01.04.01</t>
  </si>
  <si>
    <t>02.01.01.03.01</t>
  </si>
  <si>
    <t>Aumentos salariais</t>
  </si>
  <si>
    <t>02.01.01.03.02</t>
  </si>
  <si>
    <t>Recrutamentos e nomeações</t>
  </si>
  <si>
    <t>03.01.01.01.06.01</t>
  </si>
  <si>
    <t>02.01.01.03.03</t>
  </si>
  <si>
    <t>Progressões</t>
  </si>
  <si>
    <t>02.01.01.03.04</t>
  </si>
  <si>
    <t>Reclassificações</t>
  </si>
  <si>
    <t>02.01.01.03.05</t>
  </si>
  <si>
    <t>Reingressos</t>
  </si>
  <si>
    <t>02.01.01.03.06</t>
  </si>
  <si>
    <t>Promoções</t>
  </si>
  <si>
    <t>02.01.02</t>
  </si>
  <si>
    <t>Segurança social dos agentes do Município</t>
  </si>
  <si>
    <t>02.01.02.01</t>
  </si>
  <si>
    <t>02.01.02.01.01</t>
  </si>
  <si>
    <t>Contribuições para a segurança social</t>
  </si>
  <si>
    <t>02.01.02.01.02</t>
  </si>
  <si>
    <t>Encargos com a saúde</t>
  </si>
  <si>
    <t>03.01.01.02.04.01</t>
  </si>
  <si>
    <t>02.01.02.01.03</t>
  </si>
  <si>
    <t>Abono de família</t>
  </si>
  <si>
    <t>02.01.02.01.04</t>
  </si>
  <si>
    <t>Seguros de acidentes no trabalho</t>
  </si>
  <si>
    <t>02.02</t>
  </si>
  <si>
    <t>Aquisição de bens e serviços</t>
  </si>
  <si>
    <t>02.02.01</t>
  </si>
  <si>
    <t>Aquisição de bens</t>
  </si>
  <si>
    <t>02.02.01.00.00</t>
  </si>
  <si>
    <t>Livros e documentação técnica</t>
  </si>
  <si>
    <t>02.02.01.00.01</t>
  </si>
  <si>
    <t>Matérias-primas e subsidiárias</t>
  </si>
  <si>
    <t>02.02.01.00.02</t>
  </si>
  <si>
    <t>Medicamentos</t>
  </si>
  <si>
    <t>03.01.04.04.02.01</t>
  </si>
  <si>
    <t>02.02.01.00.03</t>
  </si>
  <si>
    <t>Produtos alimentares</t>
  </si>
  <si>
    <t>02.02.01.00.04</t>
  </si>
  <si>
    <t>Roupa, vestuário e calçado</t>
  </si>
  <si>
    <t>02.02.01.00.05</t>
  </si>
  <si>
    <t>Material de escritório</t>
  </si>
  <si>
    <t>02.02.01.00.08</t>
  </si>
  <si>
    <t>Material de educação, cultura e recreio</t>
  </si>
  <si>
    <t>02.02.01.00.09</t>
  </si>
  <si>
    <t>Material de transporte – peças</t>
  </si>
  <si>
    <t>02.02.01.01.01</t>
  </si>
  <si>
    <t>Artigos honoríficos e de decoração</t>
  </si>
  <si>
    <t>02.02.01.01.02</t>
  </si>
  <si>
    <t>Combustíveis e lubrificantes</t>
  </si>
  <si>
    <t>02.02.01.01.03</t>
  </si>
  <si>
    <t>Material de limpeza, higiene e conforto</t>
  </si>
  <si>
    <t>02.02.01.01.04</t>
  </si>
  <si>
    <t>Material de conservação e reparação</t>
  </si>
  <si>
    <t>02.02.01.09.09</t>
  </si>
  <si>
    <t>Outros bens</t>
  </si>
  <si>
    <t>02.02.02</t>
  </si>
  <si>
    <t>Aquisição de serviços</t>
  </si>
  <si>
    <t>02.02.02.00.01</t>
  </si>
  <si>
    <t>Rendas e alugueres</t>
  </si>
  <si>
    <t>02.02.02.00.02</t>
  </si>
  <si>
    <t>Conservação e reparação de bens</t>
  </si>
  <si>
    <t>02.02.02.00.03</t>
  </si>
  <si>
    <t>Comunicações</t>
  </si>
  <si>
    <t>02.02.02.00.04</t>
  </si>
  <si>
    <t>Transportes</t>
  </si>
  <si>
    <t>02.02.02.00.05</t>
  </si>
  <si>
    <t>Água</t>
  </si>
  <si>
    <t>02.02.02.00.06</t>
  </si>
  <si>
    <t>Energia eléctrica</t>
  </si>
  <si>
    <t>02.02.02.00.07</t>
  </si>
  <si>
    <t>Publicidade e propaganda</t>
  </si>
  <si>
    <t>02.02.02.00.08</t>
  </si>
  <si>
    <t>Representação dos serviços</t>
  </si>
  <si>
    <t>02.02.02.00.09</t>
  </si>
  <si>
    <t>Deslocações e estadias</t>
  </si>
  <si>
    <t>02.02.02.01.00</t>
  </si>
  <si>
    <t>Vigilância e segurança</t>
  </si>
  <si>
    <t>02.02.02.01.01</t>
  </si>
  <si>
    <t>Limpeza, higiene e conforto</t>
  </si>
  <si>
    <t>Limpeza, higiéne e conforto</t>
  </si>
  <si>
    <t>02.02.02.01.02</t>
  </si>
  <si>
    <t>Honorários</t>
  </si>
  <si>
    <t>Assistência Técnica - Residentes</t>
  </si>
  <si>
    <t xml:space="preserve">02.02.02.01.04 </t>
  </si>
  <si>
    <t>Outros encargos da dívida</t>
  </si>
  <si>
    <t>02.02.02.09.09</t>
  </si>
  <si>
    <t>Outros serviços</t>
  </si>
  <si>
    <t>02.04</t>
  </si>
  <si>
    <t>Juros e outros encargos</t>
  </si>
  <si>
    <t>02 .04.01</t>
  </si>
  <si>
    <t>Juros da dívida pública externa</t>
  </si>
  <si>
    <t>02.04.02</t>
  </si>
  <si>
    <t>Juros da dívida pública interna</t>
  </si>
  <si>
    <t>02.05</t>
  </si>
  <si>
    <t>Subsídios</t>
  </si>
  <si>
    <t>02.05.01</t>
  </si>
  <si>
    <t>A Empresas Públicas</t>
  </si>
  <si>
    <t>02.05.01.01</t>
  </si>
  <si>
    <t>Empresas Públicas não financeiras</t>
  </si>
  <si>
    <t>02.05.01.02</t>
  </si>
  <si>
    <t>Empresas Públicas financeiras</t>
  </si>
  <si>
    <t>02.05.02</t>
  </si>
  <si>
    <t>A Empresas Privadas</t>
  </si>
  <si>
    <t>02.05.02.01</t>
  </si>
  <si>
    <t>A Empresas Privadas não financeiras</t>
  </si>
  <si>
    <t>02.05.02.02</t>
  </si>
  <si>
    <t>A Empresas Privadas financeiras</t>
  </si>
  <si>
    <t>02.06</t>
  </si>
  <si>
    <t>Transferências</t>
  </si>
  <si>
    <t>02.06.02</t>
  </si>
  <si>
    <t>Organismos internacionais</t>
  </si>
  <si>
    <t>02.06.02.01</t>
  </si>
  <si>
    <t>Correntes</t>
  </si>
  <si>
    <t>02.06.02.01.01</t>
  </si>
  <si>
    <t>Quotas a organismos internacionais</t>
  </si>
  <si>
    <t>02.06.02.01.09</t>
  </si>
  <si>
    <t>02.06.03</t>
  </si>
  <si>
    <t>Administrações Públicas</t>
  </si>
  <si>
    <t>02.06.03.01</t>
  </si>
  <si>
    <t>02.06.03.01.01</t>
  </si>
  <si>
    <t>Fundos e serviços autónomos</t>
  </si>
  <si>
    <t>02.06.03.01.02</t>
  </si>
  <si>
    <t>Municípios</t>
  </si>
  <si>
    <t>02.06.03.01.09</t>
  </si>
  <si>
    <t xml:space="preserve">Outras Transf. Administ. Pública </t>
  </si>
  <si>
    <t>02.07</t>
  </si>
  <si>
    <t>Benefícios Sociais</t>
  </si>
  <si>
    <t>02.07.01</t>
  </si>
  <si>
    <t xml:space="preserve">Benefícios sociais </t>
  </si>
  <si>
    <t>Benefícios sociais em numerário</t>
  </si>
  <si>
    <t>02.07.01.01.01</t>
  </si>
  <si>
    <t>Pensão de Aposentação</t>
  </si>
  <si>
    <t>02.07.01.01.02</t>
  </si>
  <si>
    <t>Pensão de Sobrevivência</t>
  </si>
  <si>
    <t>02.07.01.01.07</t>
  </si>
  <si>
    <t>Prestação familiares</t>
  </si>
  <si>
    <t>02.07.02</t>
  </si>
  <si>
    <t>Benefícios de assistência social</t>
  </si>
  <si>
    <t>Beneficios sociais em numerário</t>
  </si>
  <si>
    <t>02.07.02.02</t>
  </si>
  <si>
    <t>02. 08</t>
  </si>
  <si>
    <t>Outras despesas</t>
  </si>
  <si>
    <t>02.08.01</t>
  </si>
  <si>
    <t>Seguros</t>
  </si>
  <si>
    <t>02.08.04</t>
  </si>
  <si>
    <t>Organizações não governamentais</t>
  </si>
  <si>
    <t>02.08.05</t>
  </si>
  <si>
    <t>Restituições</t>
  </si>
  <si>
    <t>02.08.06</t>
  </si>
  <si>
    <t>Indemnizações</t>
  </si>
  <si>
    <t>02.08.08</t>
  </si>
  <si>
    <t>03.02</t>
  </si>
  <si>
    <t>Activos financeiros</t>
  </si>
  <si>
    <t xml:space="preserve">03.02.01 </t>
  </si>
  <si>
    <t>Mercado interno</t>
  </si>
  <si>
    <t xml:space="preserve">03.02.01.02 </t>
  </si>
  <si>
    <t>Depósitos, certificados de depósito e poupança</t>
  </si>
  <si>
    <t xml:space="preserve">03.02.01.02.01 </t>
  </si>
  <si>
    <t>Constituições de depósitos, certificados de depósito e poupança</t>
  </si>
  <si>
    <t xml:space="preserve">03.02.01.02.02 </t>
  </si>
  <si>
    <t>Levantamentos de depósitos, certificados de depósitos e poupança</t>
  </si>
  <si>
    <t xml:space="preserve">03.02.01.03 </t>
  </si>
  <si>
    <t>Títulos</t>
  </si>
  <si>
    <t xml:space="preserve">03.02.01.03.01 </t>
  </si>
  <si>
    <t>Aquisições de títulos</t>
  </si>
  <si>
    <t xml:space="preserve">03.02.01.03.02 </t>
  </si>
  <si>
    <t>Alienações de títulos</t>
  </si>
  <si>
    <t>03.02.01.04</t>
  </si>
  <si>
    <t>Empréstimos concedidos</t>
  </si>
  <si>
    <t xml:space="preserve">03.02.01.04.01 </t>
  </si>
  <si>
    <t>Empréstimos Concedidos</t>
  </si>
  <si>
    <t xml:space="preserve">03.02.01.04.02 </t>
  </si>
  <si>
    <t>Amortizações de empréstimos concedidos</t>
  </si>
  <si>
    <t>03.02.01.05</t>
  </si>
  <si>
    <t>Acções e outras participações</t>
  </si>
  <si>
    <t>03.02.01.05.01</t>
  </si>
  <si>
    <t>Aquisições de acções e outras participações</t>
  </si>
  <si>
    <t xml:space="preserve">03.02.01.05.02 </t>
  </si>
  <si>
    <t>Alienações de acções e outras participações</t>
  </si>
  <si>
    <t xml:space="preserve">03.02.01.06 </t>
  </si>
  <si>
    <t>Reservas técnicas de seguros</t>
  </si>
  <si>
    <t xml:space="preserve">03.02.01.06.01 </t>
  </si>
  <si>
    <t>Aquisições de reservas técnicas de seguro</t>
  </si>
  <si>
    <t xml:space="preserve">03.02.01.06.02 </t>
  </si>
  <si>
    <t>Alienações de reservas técnicas de seguros</t>
  </si>
  <si>
    <t xml:space="preserve">03.02.01.07 </t>
  </si>
  <si>
    <t>Derivados fi nanceiros</t>
  </si>
  <si>
    <t xml:space="preserve">03.02.01.07.01 </t>
  </si>
  <si>
    <t>Aquisições de derivados fi nanceiros</t>
  </si>
  <si>
    <t xml:space="preserve">03.02.01.08.02 </t>
  </si>
  <si>
    <t>Alienações de derivados fi nanceiros</t>
  </si>
  <si>
    <t xml:space="preserve">03.02.01.08 </t>
  </si>
  <si>
    <t>Outros activos financeiros</t>
  </si>
  <si>
    <t xml:space="preserve">03.02.01.08.01 </t>
  </si>
  <si>
    <t>Aquisições outros activos financeiros</t>
  </si>
  <si>
    <t>Alienações de outros activos financeiros</t>
  </si>
  <si>
    <t xml:space="preserve">03.02.02 </t>
  </si>
  <si>
    <t>Mercado externo</t>
  </si>
  <si>
    <t xml:space="preserve">03.01 </t>
  </si>
  <si>
    <t>Activos não Financeiros</t>
  </si>
  <si>
    <t xml:space="preserve">03.01.01 </t>
  </si>
  <si>
    <t>Activos Fixos</t>
  </si>
  <si>
    <t>03.01.01.01.04</t>
  </si>
  <si>
    <t>Edificios para Ensino</t>
  </si>
  <si>
    <t>Aquisição de Edificios para Ensino</t>
  </si>
  <si>
    <t>03.01.01.01.06</t>
  </si>
  <si>
    <t>Outras  Construções</t>
  </si>
  <si>
    <t>Aquisição de outras construções</t>
  </si>
  <si>
    <t>03.01.01.02</t>
  </si>
  <si>
    <t>Máquina e Equipamento</t>
  </si>
  <si>
    <t>03.01.01.02.01.03</t>
  </si>
  <si>
    <t>Aquisições de viaturas ligeiras</t>
  </si>
  <si>
    <t>Aquisição de viaturas de carga</t>
  </si>
  <si>
    <t>03.01.01.02.03</t>
  </si>
  <si>
    <t>Equipamento administrativo</t>
  </si>
  <si>
    <t>03.01.01.02.03.01</t>
  </si>
  <si>
    <t>Aquisição de equipamentos Administrativos</t>
  </si>
  <si>
    <t>03.01.01.02.04</t>
  </si>
  <si>
    <t>Outras Maquinarias e Equipamentos</t>
  </si>
  <si>
    <t>Outras Maquinarias e Equipamentos Aquisições</t>
  </si>
  <si>
    <t>03.01.04.01.02</t>
  </si>
  <si>
    <t>Terrenos de Domínio Privado</t>
  </si>
  <si>
    <t>03.01.04.01.02.01</t>
  </si>
  <si>
    <t>Aquisiçoes de Terrenos de Domínio Privado</t>
  </si>
  <si>
    <t>03.01.04.04.02</t>
  </si>
  <si>
    <t>Aplicações informáticas</t>
  </si>
  <si>
    <t>Aplicações informáticas - Aquisições</t>
  </si>
  <si>
    <t>Calheta de São Miguel, 30 de outubro de 2021</t>
  </si>
  <si>
    <t>MAPA III - DESPESA DE FUNCIONAMENTO E DE INVESTIMENTO DO MUNICÍPIO SEGUNDO A CLASSIFICAÇÃO FUNCIONAL</t>
  </si>
  <si>
    <t>Código funcional</t>
  </si>
  <si>
    <t>Código económico</t>
  </si>
  <si>
    <t xml:space="preserve">Orçamento </t>
  </si>
  <si>
    <t>Peso no orçamento</t>
  </si>
  <si>
    <t>Funcionamento</t>
  </si>
  <si>
    <t>Investimento</t>
  </si>
  <si>
    <t>TOTAL</t>
  </si>
  <si>
    <t xml:space="preserve">07.00.01 </t>
  </si>
  <si>
    <t>Serviços Publicos Gerais</t>
  </si>
  <si>
    <t xml:space="preserve">07.00.01.03 </t>
  </si>
  <si>
    <t>Serviços Públicos Gerais</t>
  </si>
  <si>
    <t xml:space="preserve">07.00.01.03.01 </t>
  </si>
  <si>
    <t>Despesas com Pessoal</t>
  </si>
  <si>
    <t>07.00.01.03.03</t>
  </si>
  <si>
    <t>07.00.01.07.00</t>
  </si>
  <si>
    <t>07.00.01.08.00</t>
  </si>
  <si>
    <t>Transferênçias</t>
  </si>
  <si>
    <t>07.00.01.06.00</t>
  </si>
  <si>
    <t>07.00.08</t>
  </si>
  <si>
    <t>02.08</t>
  </si>
  <si>
    <t>Outras Despesas</t>
  </si>
  <si>
    <t>03.01</t>
  </si>
  <si>
    <t>Ativos não financeiros</t>
  </si>
  <si>
    <t>07.00.03</t>
  </si>
  <si>
    <t>Segurança e Ordem Pública</t>
  </si>
  <si>
    <t>07.00.03.06.00</t>
  </si>
  <si>
    <t>Formação de bombeiros/fiscais municipais</t>
  </si>
  <si>
    <t xml:space="preserve">07.00.04 </t>
  </si>
  <si>
    <t>Assuntos Económicos</t>
  </si>
  <si>
    <t>07.00.04.01.02</t>
  </si>
  <si>
    <t>Apoio a formação profissional</t>
  </si>
  <si>
    <t>Empoderamento da mulher</t>
  </si>
  <si>
    <t>07.00.04.02.04</t>
  </si>
  <si>
    <t>03.01.01.02.02.01</t>
  </si>
  <si>
    <t>Apoio para aquisição de materiais de pescas e botes</t>
  </si>
  <si>
    <t>07.00.04.07.03</t>
  </si>
  <si>
    <t>Sinalização turística do Concelho de São Miguel</t>
  </si>
  <si>
    <t>07.00.04.04.03</t>
  </si>
  <si>
    <t>Construção de Mercadinhos flamengo e ribeira principal</t>
  </si>
  <si>
    <t>07.00.04.04.02</t>
  </si>
  <si>
    <t>Construção do Parque Industrial</t>
  </si>
  <si>
    <t xml:space="preserve">07.00.05 </t>
  </si>
  <si>
    <t>Protecção Ambiental</t>
  </si>
  <si>
    <t>07.00.05.02.00</t>
  </si>
  <si>
    <t>Rede de esgotos</t>
  </si>
  <si>
    <t>07.00.05.06</t>
  </si>
  <si>
    <t>Reforço do saneamento básico</t>
  </si>
  <si>
    <t>Transferência de Residuos Aterro Santiago</t>
  </si>
  <si>
    <t>Plano de emergencia epoca das chuvas</t>
  </si>
  <si>
    <t>Plano de mitigação as secas e maus anos agricolas</t>
  </si>
  <si>
    <t xml:space="preserve">07.00.06 </t>
  </si>
  <si>
    <t>Habitação e Desenvolvimento Urbanístico</t>
  </si>
  <si>
    <t>07.00.06.02.00</t>
  </si>
  <si>
    <t>Reabilitação de jardins infantis e escolas do EBI</t>
  </si>
  <si>
    <t>Manutenção dos USB´s</t>
  </si>
  <si>
    <t>Criação e manutenção de espaços verdes</t>
  </si>
  <si>
    <t>Manutenção e Reabilitação de Edificios Municipais</t>
  </si>
  <si>
    <t xml:space="preserve">Conclusão das obras de casa das artes de Achada Bolanha </t>
  </si>
  <si>
    <t>Projeto de valorização Turistica das aldeias rurais</t>
  </si>
  <si>
    <t>07.00.06.06</t>
  </si>
  <si>
    <t xml:space="preserve">Manutenção do  Estádio Municipal </t>
  </si>
  <si>
    <t>Construção de Casas de Banho</t>
  </si>
  <si>
    <t>Manutenção de cemitérios</t>
  </si>
  <si>
    <t>07.00.06.01.00</t>
  </si>
  <si>
    <t>Toponimia e Enumeração Policial</t>
  </si>
  <si>
    <t>07.00.06.02</t>
  </si>
  <si>
    <t>Infraestruturação da Zona do Bácio</t>
  </si>
  <si>
    <t>Elaboração de Planos Detalhados</t>
  </si>
  <si>
    <t>07.00.06.03</t>
  </si>
  <si>
    <t>Projeto de Abastecimento de Àgua as comunidades de Flamentos e Ribeira de São Miguel</t>
  </si>
  <si>
    <t>07.00.07</t>
  </si>
  <si>
    <t>Saúde</t>
  </si>
  <si>
    <t>07.00.07.04</t>
  </si>
  <si>
    <t>Apoio consultas de especialidade e medicamentos</t>
  </si>
  <si>
    <t>Serviços culturais, recreativos e religiosos</t>
  </si>
  <si>
    <t>07.00.08.02.00</t>
  </si>
  <si>
    <t>Atividades culturais e promoção da cultura no Concelho</t>
  </si>
  <si>
    <t>07.00.09</t>
  </si>
  <si>
    <t>Educação</t>
  </si>
  <si>
    <t>Apoio ao ensino básico e secundário</t>
  </si>
  <si>
    <t>Apoio pre escolar</t>
  </si>
  <si>
    <t>07.00.09.04</t>
  </si>
  <si>
    <t>Comparticipação Ensino Superior</t>
  </si>
  <si>
    <t>07.00.09.02</t>
  </si>
  <si>
    <t>Transporte escolar</t>
  </si>
  <si>
    <t>07.00.10</t>
  </si>
  <si>
    <t>Proteção Social</t>
  </si>
  <si>
    <t>07.00.10.06.00</t>
  </si>
  <si>
    <t>07.00.10.04.00</t>
  </si>
  <si>
    <t>Apoio a crianças vulneráveis</t>
  </si>
  <si>
    <t>Habitações Sociais</t>
  </si>
  <si>
    <t>Câmara Municipalde São Miguel, 30 de outubro de 2021.</t>
  </si>
  <si>
    <t>Município de São Miguel</t>
  </si>
  <si>
    <t>MAPA VII- Orçamento consolidado das receitas e ativos não financeiros  e das despesas e ativos não financeiros de funcionamento e investimentos, segundo uma classificação económica</t>
  </si>
  <si>
    <t>Económica</t>
  </si>
  <si>
    <t>Capítulo/Grupo</t>
  </si>
  <si>
    <t>01'</t>
  </si>
  <si>
    <t>Receitas e ativos não financeiros</t>
  </si>
  <si>
    <t xml:space="preserve">01.01 </t>
  </si>
  <si>
    <t xml:space="preserve">01.02 </t>
  </si>
  <si>
    <t xml:space="preserve">01.03 </t>
  </si>
  <si>
    <t>Total  GERAL/RECEITAS</t>
  </si>
  <si>
    <t>Receitas de capital</t>
  </si>
  <si>
    <t>Total das Receitas de capital</t>
  </si>
  <si>
    <t>Despesas de correntes</t>
  </si>
  <si>
    <t xml:space="preserve">02.01 </t>
  </si>
  <si>
    <t xml:space="preserve">02.02 </t>
  </si>
  <si>
    <t xml:space="preserve">02.04 </t>
  </si>
  <si>
    <t xml:space="preserve">02.06 </t>
  </si>
  <si>
    <t xml:space="preserve">02.07 </t>
  </si>
  <si>
    <t xml:space="preserve">02. 08 </t>
  </si>
  <si>
    <t>Total Despesas Correntes</t>
  </si>
  <si>
    <t>Eixos- Investimentos</t>
  </si>
  <si>
    <t>CAPITAL HUMANO</t>
  </si>
  <si>
    <t>COMPETITIVIDADE</t>
  </si>
  <si>
    <t>INFRA-ESTRUTURAÇÃO</t>
  </si>
  <si>
    <t>COESÃO SOCIAL</t>
  </si>
  <si>
    <t>Total Despesas Investimentos</t>
  </si>
  <si>
    <t>TOTAL GERAL</t>
  </si>
  <si>
    <t>Mapa VIII - Orçamento consolidado das Receitas  e ativos não financeiros  das Despesas de Funcionamento  segundo uma classificação Orgânica</t>
  </si>
  <si>
    <t>Receitas</t>
  </si>
  <si>
    <t>Ano</t>
  </si>
  <si>
    <t>Peso</t>
  </si>
  <si>
    <t xml:space="preserve">Despesas </t>
  </si>
  <si>
    <t>%</t>
  </si>
  <si>
    <t>Segurança Social</t>
  </si>
  <si>
    <t>Outras receitas</t>
  </si>
  <si>
    <t>Despesas de Investimentos</t>
  </si>
  <si>
    <t>Receitas totais</t>
  </si>
  <si>
    <t>Despesas Totais</t>
  </si>
  <si>
    <t>MAPA IX - ORÇAMENTO CONSOLIDADO DAS DESPESAS DO MUNICÍPIO, SEGUNDO A CLASSIFICAÇÃO FUNCIONAL</t>
  </si>
  <si>
    <t>Câmara Municipal de São Miguel, 30 de outubro de 2021.</t>
  </si>
  <si>
    <t>Orçamento  2023</t>
  </si>
  <si>
    <t>MAPA X - Programa de Investimentos Públicos do Município, Estruturado por Programa e Sub-programa</t>
  </si>
  <si>
    <t>Eixos</t>
  </si>
  <si>
    <t>Prog</t>
  </si>
  <si>
    <t>C.E</t>
  </si>
  <si>
    <t>Fontes de Financiamento</t>
  </si>
  <si>
    <t>Orçamento Municipal</t>
  </si>
  <si>
    <t>Governo/Tesouro</t>
  </si>
  <si>
    <t xml:space="preserve">Donativos </t>
  </si>
  <si>
    <t>Empréstimo</t>
  </si>
  <si>
    <t>TRANSVERSAL</t>
  </si>
  <si>
    <t>Género</t>
  </si>
  <si>
    <t>Promoção da igualdade e equidade do género</t>
  </si>
  <si>
    <t>Empoderamento da Mulher</t>
  </si>
  <si>
    <t>04</t>
  </si>
  <si>
    <t>Ambiente</t>
  </si>
  <si>
    <t>Gestão Equilibrada dos Recursos Naturais</t>
  </si>
  <si>
    <t>BOA GOVERNAÇÃO</t>
  </si>
  <si>
    <t>01</t>
  </si>
  <si>
    <t>Reforma do Estado e da Administração Pública</t>
  </si>
  <si>
    <t>Modernização da Administração Pública</t>
  </si>
  <si>
    <t>projeto São Miguel On</t>
  </si>
  <si>
    <t>Programa Mais Qualidade mais comunidade</t>
  </si>
  <si>
    <t>Projecto hidroagricula da ribeira de flamengos e espinho branco e achada espinho branco</t>
  </si>
  <si>
    <t>Governação Eletrónica</t>
  </si>
  <si>
    <t>02</t>
  </si>
  <si>
    <t>Segurança</t>
  </si>
  <si>
    <t>Reforço da Segurança Interna</t>
  </si>
  <si>
    <t>Formação de Bombeiros/Fiscais Municipais</t>
  </si>
  <si>
    <t>Melhoria da Qualidade do Ensino Pré-Escolar</t>
  </si>
  <si>
    <t>Apoio ao ensino básico e secundário (ver execucao)</t>
  </si>
  <si>
    <t>Apoio pre escolar (ver execucao)</t>
  </si>
  <si>
    <t>Melhoria da Qualidade do Ensino Secundário</t>
  </si>
  <si>
    <t>Ensino Superior</t>
  </si>
  <si>
    <t>Desporto</t>
  </si>
  <si>
    <t>Generalização da Prática Desportiva</t>
  </si>
  <si>
    <r>
      <t xml:space="preserve">Criação e Manutenção de parques infantis e Espaços </t>
    </r>
    <r>
      <rPr>
        <i/>
        <sz val="11"/>
        <rFont val="Arial"/>
        <family val="2"/>
      </rPr>
      <t>Fitness Park</t>
    </r>
  </si>
  <si>
    <t>Atividades desportivas e promoção do desporto no Concelho</t>
  </si>
  <si>
    <t>Construção e Reabilitação de Placas Desportivas</t>
  </si>
  <si>
    <t>03</t>
  </si>
  <si>
    <t>Emprego e Formação Profissional</t>
  </si>
  <si>
    <t>Formação profissional direc. para o emprego e inclusão social</t>
  </si>
  <si>
    <t>Estágios Profissionais e promocao de emprego</t>
  </si>
  <si>
    <t>Apoio a Formação Profissional</t>
  </si>
  <si>
    <t>Cultura</t>
  </si>
  <si>
    <t>Valorização dos Produtos Culturais e Património Histórico-Cultural</t>
  </si>
  <si>
    <t>05</t>
  </si>
  <si>
    <t>Melhoria da Prestação de Cuidados de Saúde</t>
  </si>
  <si>
    <t>Apoio Consultas de Especialidade e Medicamentos</t>
  </si>
  <si>
    <t xml:space="preserve">promoçao e inclusao social </t>
  </si>
  <si>
    <t>Pesca</t>
  </si>
  <si>
    <t>Apoio para Aquisição de Materiais de Pescas e Botes</t>
  </si>
  <si>
    <t>Turismo</t>
  </si>
  <si>
    <t>Melhoria da qualidade dos produtos e serviços do turismo</t>
  </si>
  <si>
    <t>Sinalização Turística do Concelho de São Miguel</t>
  </si>
  <si>
    <t>4</t>
  </si>
  <si>
    <t>Comércio</t>
  </si>
  <si>
    <t>Valorização da Produção Nacional</t>
  </si>
  <si>
    <t>Indústria</t>
  </si>
  <si>
    <t>Integração da Indústria na Política de Desenvolvimento</t>
  </si>
  <si>
    <t>Construção do parque industrial</t>
  </si>
  <si>
    <t>Ordenamento do Território</t>
  </si>
  <si>
    <t>Melhoria da Gestão do Território, Solos e Cadastro</t>
  </si>
  <si>
    <t xml:space="preserve">Revisão do PDM </t>
  </si>
  <si>
    <t xml:space="preserve">Saneamento Básico </t>
  </si>
  <si>
    <t>Melhoria do Sistema de Recolha, Tratamento dos Resíduos Sólidos e Águas Residuais</t>
  </si>
  <si>
    <t>Reforço do Saneamento Básico</t>
  </si>
  <si>
    <t>Manutenção de Cemitérios</t>
  </si>
  <si>
    <t>03.01.01.02..01.03.01</t>
  </si>
  <si>
    <t>controlo da população canina</t>
  </si>
  <si>
    <t>Rede de Esgotos</t>
  </si>
  <si>
    <t>Gestão dos Recursos Hídricos</t>
  </si>
  <si>
    <t>Melhoria da Gestão Integrada e Qualidade de Água para o Abastecimento Público</t>
  </si>
  <si>
    <t>Ligações domiciliarias nas localidades de Lém Cardoso,  Espinho Branco, Flamengos e Ribeira de São Miguel</t>
  </si>
  <si>
    <t>Infra-Estruturas e Transportes</t>
  </si>
  <si>
    <t>Garantia de Condições de Segurança das Estradas para a Circulação</t>
  </si>
  <si>
    <t>Manutenção de Caminhos Vicinais e Melhoramento de Acessos</t>
  </si>
  <si>
    <t>projeto de selagem da lixeira de bacio</t>
  </si>
  <si>
    <t xml:space="preserve">Sinalização de Transito </t>
  </si>
  <si>
    <t>Plano de Mitigação as secas e maus anos agricolas</t>
  </si>
  <si>
    <t>Energia</t>
  </si>
  <si>
    <t>Melhoria das Infraestrut. Produção, Armazenamento e Distribuição de Energia</t>
  </si>
  <si>
    <t>Eletrificação de Ponta Can</t>
  </si>
  <si>
    <t>06</t>
  </si>
  <si>
    <t>Requalificação Urbana e Habitação</t>
  </si>
  <si>
    <t>Melhoria da Planificação Urbanística, Habitacional e Requalificação</t>
  </si>
  <si>
    <t>requalificaçao urbana e ambiental de veneza</t>
  </si>
  <si>
    <t xml:space="preserve">Reabilitações de estradas rurais </t>
  </si>
  <si>
    <t>Reabilitação de mercados</t>
  </si>
  <si>
    <t>Construção do campo de Manguinho e achada bolanha</t>
  </si>
  <si>
    <t>Asfaltagem da via de acesso a rabelado em Espinho Branco</t>
  </si>
  <si>
    <t>Requalificação urbana e ambiental de Dacalinha em Achada Monte</t>
  </si>
  <si>
    <t>Construção da Estrada Igreja a Cutelo Gomes</t>
  </si>
  <si>
    <t>Construção de mercados de peixes</t>
  </si>
  <si>
    <t>Construção da Estrada de Mato Dentro</t>
  </si>
  <si>
    <t>Construção da Estrada Aguadinha</t>
  </si>
  <si>
    <t>Requalificação urbana e ambiental de Variante Monte pousada</t>
  </si>
  <si>
    <t>Reabilitação de espaços jovens ponta verde</t>
  </si>
  <si>
    <t>Habitação social</t>
  </si>
  <si>
    <t>Melhoria das Condições de Habitação dos Mais Desfavorecidos</t>
  </si>
  <si>
    <t>Proteção  Social</t>
  </si>
  <si>
    <t>Proteção dos Direitos das crianças e adolescente</t>
  </si>
  <si>
    <t>Apoio a crianças Vulneráveis</t>
  </si>
  <si>
    <t>MAPA XI- Resumo das operações fiscais do Municipio, especificando os saldos e a natureza do seu financiamento</t>
  </si>
  <si>
    <t>Administração directa</t>
  </si>
  <si>
    <t>Serviços Autónomos</t>
  </si>
  <si>
    <t>Sub-total</t>
  </si>
  <si>
    <t>Parcial
%</t>
  </si>
  <si>
    <t>Global%</t>
  </si>
  <si>
    <t>1ª analise</t>
  </si>
  <si>
    <t>TOTAL RECEITAS</t>
  </si>
  <si>
    <t>O1</t>
  </si>
  <si>
    <t>RECEITAS</t>
  </si>
  <si>
    <t>Amortização</t>
  </si>
  <si>
    <t>2ª analise</t>
  </si>
  <si>
    <t xml:space="preserve">Saldo </t>
  </si>
  <si>
    <t xml:space="preserve">01.04 </t>
  </si>
  <si>
    <t>ativos</t>
  </si>
  <si>
    <t>TOTAL DESPESAS</t>
  </si>
  <si>
    <t>O2</t>
  </si>
  <si>
    <t>DESPESAS</t>
  </si>
  <si>
    <t>Despesas com pessoal</t>
  </si>
  <si>
    <t>INV - FINANC PROPRIO</t>
  </si>
  <si>
    <t>…</t>
  </si>
  <si>
    <t>amortizações</t>
  </si>
  <si>
    <t>Activos não financeiros</t>
  </si>
  <si>
    <t>Financiamento interno</t>
  </si>
  <si>
    <t xml:space="preserve">  Financiamento externo</t>
  </si>
  <si>
    <t>Total Receita</t>
  </si>
  <si>
    <t>Total Despesas</t>
  </si>
  <si>
    <t>Saldo</t>
  </si>
  <si>
    <t>Financiamento</t>
  </si>
  <si>
    <t>03.02 - Ativos Financeiros</t>
  </si>
  <si>
    <t>Valor</t>
  </si>
  <si>
    <t>Activos Financeiros</t>
  </si>
  <si>
    <t>Mercado Interno</t>
  </si>
  <si>
    <t xml:space="preserve">Empréstimos concedidos </t>
  </si>
  <si>
    <t>Empréstimos concedidos  Amortização</t>
  </si>
  <si>
    <t>Acçoes e outras Participações -Aquisição</t>
  </si>
  <si>
    <t>03.02.01.02.01</t>
  </si>
  <si>
    <t>Constituições de depósitos, certificados de depósitos e poupanças</t>
  </si>
  <si>
    <t>Passivos Financeiros</t>
  </si>
  <si>
    <t xml:space="preserve"> </t>
  </si>
  <si>
    <t>Empréstimos Obtidos - Aquisições</t>
  </si>
  <si>
    <t>Empréstimos Obtidos  Amortização</t>
  </si>
  <si>
    <t>Outras Passivos Financeiros - Aquisição</t>
  </si>
  <si>
    <t>Mercado Externo</t>
  </si>
  <si>
    <t>Total de Operações activas</t>
  </si>
  <si>
    <t>Total de Operações Passivo</t>
  </si>
  <si>
    <t>Necessidade de Financiamento</t>
  </si>
  <si>
    <t>Déficit Global</t>
  </si>
  <si>
    <t>GAP</t>
  </si>
  <si>
    <t>Orçamento de 2021</t>
  </si>
  <si>
    <t>CALCULO DOS JUROS E AMORTIZAÇÕES PARA 2021 CREDITO 01 A 05</t>
  </si>
  <si>
    <t>bca</t>
  </si>
  <si>
    <t>MONT/CREDITO     005</t>
  </si>
  <si>
    <t>JUROS</t>
  </si>
  <si>
    <t>AMORTIZAÇÕES</t>
  </si>
  <si>
    <t>Valores</t>
  </si>
  <si>
    <t>mês</t>
  </si>
  <si>
    <t>Soma de juros</t>
  </si>
  <si>
    <t>Soma de amortização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</si>
  <si>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</si>
  <si>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</si>
  <si>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</si>
  <si>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</si>
  <si>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</si>
  <si>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</si>
  <si>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</si>
  <si>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</si>
  <si>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</si>
  <si>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</si>
  <si>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</si>
  <si>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</si>
  <si>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MONT/CREDITO     004</t>
  </si>
  <si>
    <t>MONT/CREDITO     003</t>
  </si>
  <si>
    <t>Liquidado</t>
  </si>
  <si>
    <t>MONT/CREDITO     002</t>
  </si>
  <si>
    <t>MONT/CREDITO     001</t>
  </si>
  <si>
    <t>TOTAL DE JUROS 2021</t>
  </si>
  <si>
    <t>TOTAL DE AMORTIZAÇÕES 2021</t>
  </si>
  <si>
    <t>Calheta de São Miguel, 13 de setembro de 2021.</t>
  </si>
  <si>
    <t>emprestimo</t>
  </si>
  <si>
    <t>amortização</t>
  </si>
  <si>
    <t>prestação</t>
  </si>
  <si>
    <t>juros</t>
  </si>
  <si>
    <t>capital em divida</t>
  </si>
  <si>
    <t>Emp001</t>
  </si>
  <si>
    <t>Emp002</t>
  </si>
  <si>
    <t>emp004</t>
  </si>
  <si>
    <t>emp005</t>
  </si>
  <si>
    <t>emp007</t>
  </si>
  <si>
    <t>Rubrica</t>
  </si>
  <si>
    <t>Nome</t>
  </si>
  <si>
    <t>CC</t>
  </si>
  <si>
    <t>cod</t>
  </si>
  <si>
    <t>Sum of Valor</t>
  </si>
  <si>
    <t>Projecto hidroagricula da ribeira de flamengos, espinho branco e achada espinho branco</t>
  </si>
  <si>
    <t>Reabilitação de Placas Desportivas</t>
  </si>
  <si>
    <t>vedaçao do campo de Manguinho e achada bolanha</t>
  </si>
  <si>
    <t>espaço tratamento de peixes</t>
  </si>
  <si>
    <t>Reabilitação de espaço joven de ponta verde e pilao cao</t>
  </si>
  <si>
    <t>Manutenção dos USB´s da ribeira de são miguel</t>
  </si>
  <si>
    <t>Ligações domiciliarias nas localidades de Lém Cardoso, pilao cao  Espinho Branco, Flamengos e Ribeira de São Miguel</t>
  </si>
  <si>
    <t>Criação e Manutenção de parques infantis e Espaços Fitness Park</t>
  </si>
  <si>
    <t>nome</t>
  </si>
  <si>
    <t>valor</t>
  </si>
  <si>
    <t>rubrica</t>
  </si>
  <si>
    <t>Sum of valor</t>
  </si>
  <si>
    <t>02.01.01.02.07 Total</t>
  </si>
  <si>
    <t>02.02.02.01.03.01 Total</t>
  </si>
  <si>
    <t>02.07.02.01 Total</t>
  </si>
  <si>
    <t>02.08.02 Total</t>
  </si>
  <si>
    <t>03.01.01.01.04.01 Total</t>
  </si>
  <si>
    <t>03.01.01.01.06.01 Total</t>
  </si>
  <si>
    <t>03.01.01.02..01.03.01 Total</t>
  </si>
  <si>
    <t>03.01.01.02.04.01 Total</t>
  </si>
  <si>
    <t>03.01.04.04.02.01 Total</t>
  </si>
  <si>
    <t xml:space="preserve">Apoio pre escolar </t>
  </si>
  <si>
    <t xml:space="preserve">Apoio ao ensino básico e secundário </t>
  </si>
  <si>
    <t>j</t>
  </si>
  <si>
    <t>Imposto Único sobre Património</t>
  </si>
  <si>
    <t>Pessoas Singulares</t>
  </si>
  <si>
    <t>Pessoas colectivas</t>
  </si>
  <si>
    <t>Sobre Bens e Servisos</t>
  </si>
  <si>
    <t>Sobre Vendas</t>
  </si>
  <si>
    <t>Imposto Sobre os serviços de incêndio</t>
  </si>
  <si>
    <t>Sobre o Consumo</t>
  </si>
  <si>
    <t>Sobre o Consumos Especiais</t>
  </si>
  <si>
    <t>Impostros Cobrados por outras entidades</t>
  </si>
  <si>
    <t>Impostos Diversos Sobre serviços</t>
  </si>
  <si>
    <t>Imposto de Turismo</t>
  </si>
  <si>
    <t>Outros Diversos</t>
  </si>
  <si>
    <t>Outros Impostos</t>
  </si>
  <si>
    <t>Impostos de Circulação de Veículos Automóveis</t>
  </si>
  <si>
    <t>Outros Impostos Diversos Sobre Bens e Serviços</t>
  </si>
  <si>
    <t>Ajuda Orçamental</t>
  </si>
  <si>
    <t>Ajuda Alimentar</t>
  </si>
  <si>
    <t>Donativos Directos</t>
  </si>
  <si>
    <t>Outras</t>
  </si>
  <si>
    <t>Capital</t>
  </si>
  <si>
    <t>Administração Central</t>
  </si>
  <si>
    <t>Administração Locall</t>
  </si>
  <si>
    <t>Juros</t>
  </si>
  <si>
    <t>Dividendos</t>
  </si>
  <si>
    <t xml:space="preserve">Dividendos de Quase Sociedades </t>
  </si>
  <si>
    <t>Receitas Provinientes de Reservas Técnicas</t>
  </si>
  <si>
    <t>Rendas</t>
  </si>
  <si>
    <t>De Concessões Aeroportuárias</t>
  </si>
  <si>
    <t>De Concessões portuárias</t>
  </si>
  <si>
    <t>De Outras Concessões</t>
  </si>
  <si>
    <t>De Terrenos</t>
  </si>
  <si>
    <t>De Habitações</t>
  </si>
  <si>
    <t>De Edifícios</t>
  </si>
  <si>
    <t>Outras Rendas</t>
  </si>
  <si>
    <t>Outros  Rendimentos de Propriedades</t>
  </si>
  <si>
    <t>Vendas de Bens Correntes</t>
  </si>
  <si>
    <t>Publicações e impressos</t>
  </si>
  <si>
    <t>Taxa de Prestação de serviços</t>
  </si>
  <si>
    <t>Prestação de Serviços</t>
  </si>
  <si>
    <t>Taxa de Serviços Agrícolas e Pecuários</t>
  </si>
  <si>
    <t>Taxa de Serviços de Comércio</t>
  </si>
  <si>
    <t>Taxa de Exploração de Água</t>
  </si>
  <si>
    <t>Taxa de Serviços de Secretaría</t>
  </si>
  <si>
    <t>Taxa de Licenças de Loteamento, De Execução de obras de Particulares, da Utilização da via Pública por motivos de obras e de utilização de edifícios</t>
  </si>
  <si>
    <t>Taxa de construção, manutenção ou reforço de infraestruturas urbanísticas e de saneamento</t>
  </si>
  <si>
    <t xml:space="preserve">Taxa de ocupação do domínio público e aproveitamento dos bens de utilização </t>
  </si>
  <si>
    <t>Taxa de ocupação e utilização de locais reservados nos mercados e feiras</t>
  </si>
  <si>
    <t>Taxa de aferiação de pesos, medidas e aparelhos de mediçaõ</t>
  </si>
  <si>
    <t>Taxa de serviços de publicidade com fins comerciais</t>
  </si>
  <si>
    <t>Taxa de autorização de vendas ambulante nas vias e recintos públicos</t>
  </si>
  <si>
    <t>Taxa de Serviço de enterramento, concessão de terrenos e uso de jazigos, de ossários e de outras instalações em cemitérios Municipais</t>
  </si>
  <si>
    <t>Taxa de registos e licenças de cães</t>
  </si>
  <si>
    <t xml:space="preserve">Taxa pela Utilização de Matadouros e talhos municipais </t>
  </si>
  <si>
    <t>Taxa pela Utilização de quaisquer instalação destinadas ao conforto,comodidade ou recreio publico</t>
  </si>
  <si>
    <t>Taxa de comparticipação dos proprietários de solos urbanos nos custos da urbanização</t>
  </si>
  <si>
    <t>Taxa pela comparticipação dos proprietários de imoveis em areas urbanizadas nos custos de conservação dos espaços publicos</t>
  </si>
  <si>
    <t>Taxa pela extracção de materiais inertes em explorações particulares a ceu aberto</t>
  </si>
  <si>
    <t>Taxa pela concessão de licenças de obras no solo e subsolo do dominio publico municipal</t>
  </si>
  <si>
    <t xml:space="preserve">Taxa pela ocupação ou utilização do solo,subsolo e espaço aereo de dominio publico municipal </t>
  </si>
  <si>
    <t>Taxa pelo aproveitamento dos bens de utilidade publica situados no solo,subsolo e espaço aereo do dominio publico municipal</t>
  </si>
  <si>
    <t>Taxa pela instalação de antenas parabolicas</t>
  </si>
  <si>
    <t>Taxa pela instalação de antenas de operadores de telecomunicações moveis</t>
  </si>
  <si>
    <t>Taxa pela prestação de serviços ao publico por unidade orgânicas,funcionarios ou agentes municipais</t>
  </si>
  <si>
    <t>Taxa pela conservação e tratamento de esgotos</t>
  </si>
  <si>
    <t>Taxa de serviço de licenciamento de alambiques</t>
  </si>
  <si>
    <t>Taxa pela emissão de outras licenças não previstas nas rubricas anteriores</t>
  </si>
  <si>
    <t>Emolumentos e custas</t>
  </si>
  <si>
    <t>Emolumentos judiciais</t>
  </si>
  <si>
    <t>Emolumentos pessoais</t>
  </si>
  <si>
    <t>Serviços Diversos</t>
  </si>
  <si>
    <t>Taxa de Relaxe</t>
  </si>
  <si>
    <t>Multa por infracções ao código de Posturas Municipais</t>
  </si>
  <si>
    <t>Juros de Mora</t>
  </si>
  <si>
    <t>Outras Receitas Diversas e não especificadas</t>
  </si>
  <si>
    <t>Reposições não Abatidas nos Pagamentos</t>
  </si>
  <si>
    <t xml:space="preserve"> ACTIVOS NÃO FINANCEIROS</t>
  </si>
  <si>
    <t>03.01.01.01.01.01.02 Vendas de Residências civis</t>
  </si>
  <si>
    <t>03.01.01.02.04.02 Vendas de outras maquinarias e equipamentos</t>
  </si>
  <si>
    <t>Sobre vendas</t>
  </si>
  <si>
    <t>Orçamento 2023</t>
  </si>
  <si>
    <t>Calheta de São Miguel, 06 de setembro de 2022.</t>
  </si>
  <si>
    <t>Calheta de São Miguel, 07 de setembro de 2022.</t>
  </si>
  <si>
    <t>Calheta de São Miguel, 06 de setembro de 2022</t>
  </si>
  <si>
    <t>AMORTIZAÇÃO PARA O 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</si>
</sst>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#,##0.00\ &quot;€&quot;;[Red]\-#,##0.00\ &quot;€&quot;"/>
    <numFmt numFmtId="41" formatCode="_-* #,##0\ _€_-;\-* #,##0\ _€_-;_-* &quot;-&quot;\ _€_-;_-@_-"/>
    <numFmt numFmtId="43" formatCode="_-* #,##0.00\ _€_-;\-* #,##0.00\ _€_-;_-* &quot;-&quot;??\ _€_-;_-@_-"/>
    <numFmt numFmtId="164" formatCode="_(* #,##0.00_);_(* \(#,##0.00\);_(* &quot;-&quot;??_);_(@_)"/>
    <numFmt numFmtId="165" formatCode="#,##0.0"/>
    <numFmt numFmtId="166" formatCode="#,##0_ ;\-#,##0\ "/>
    <numFmt numFmtId="167" formatCode="_-* #,##0.00\ _E_s_c_._-;\-* #,##0.00\ _E_s_c_._-;_-* &quot;-&quot;??\ _E_s_c_._-;_-@_-"/>
    <numFmt numFmtId="168" formatCode="#,##0.00;[Red]#,##0.00"/>
    <numFmt numFmtId="169" formatCode="_-* #,##0.0\ _€_-;\-* #,##0.0\ _€_-;_-* &quot;-&quot;??\ _€_-;_-@_-"/>
    <numFmt numFmtId="170" formatCode="&quot;$&quot;#,##0.00"/>
  </numFmts>
  <fonts count="8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002060"/>
      <name val="Times New Roman"/>
      <family val="1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2060"/>
      <name val="Times New Roman"/>
      <family val="1"/>
    </font>
    <font>
      <b/>
      <u/>
      <sz val="12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Arial Narrow"/>
      <family val="2"/>
    </font>
    <font>
      <b/>
      <u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</font>
    <font>
      <sz val="12"/>
      <color indexed="8"/>
      <name val="Calibri"/>
      <family val="2"/>
      <scheme val="minor"/>
    </font>
    <font>
      <sz val="9"/>
      <color indexed="10"/>
      <name val="Calibri"/>
      <family val="2"/>
    </font>
    <font>
      <b/>
      <sz val="14"/>
      <name val="Calibri"/>
      <family val="2"/>
    </font>
    <font>
      <b/>
      <u/>
      <sz val="12"/>
      <name val="Calibri"/>
      <family val="2"/>
    </font>
    <font>
      <b/>
      <i/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Times New Roman"/>
      <family val="1"/>
    </font>
    <font>
      <sz val="12"/>
      <name val="Courier"/>
      <family val="3"/>
    </font>
    <font>
      <sz val="10"/>
      <name val="Times New Roman"/>
      <family val="1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i/>
      <u/>
      <sz val="12"/>
      <color indexed="8"/>
      <name val="Calibri"/>
      <family val="2"/>
      <scheme val="minor"/>
    </font>
    <font>
      <u/>
      <sz val="12"/>
      <color indexed="8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2"/>
      <name val="Calibri"/>
      <family val="2"/>
      <scheme val="minor"/>
    </font>
    <font>
      <i/>
      <sz val="1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indexed="8"/>
      <name val="Times New Roman"/>
      <family val="1"/>
    </font>
    <font>
      <b/>
      <sz val="9"/>
      <color indexed="10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9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Times New Roman"/>
      <family val="1"/>
    </font>
    <font>
      <b/>
      <u/>
      <sz val="11"/>
      <name val="Arial"/>
      <family val="2"/>
    </font>
    <font>
      <sz val="11"/>
      <color rgb="FF01569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160740989410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theme="0" tint="-0.24991607409894101"/>
      </left>
      <right/>
      <top style="thick">
        <color theme="0" tint="-0.24991607409894101"/>
      </top>
      <bottom style="thick">
        <color theme="0" tint="-0.24991607409894101"/>
      </bottom>
      <diagonal/>
    </border>
    <border>
      <left/>
      <right style="thick">
        <color theme="0" tint="-0.24991607409894101"/>
      </right>
      <top style="thick">
        <color theme="0" tint="-0.24991607409894101"/>
      </top>
      <bottom style="thick">
        <color theme="0" tint="-0.24991607409894101"/>
      </bottom>
      <diagonal/>
    </border>
    <border>
      <left/>
      <right/>
      <top style="thick">
        <color theme="0" tint="-0.24991607409894101"/>
      </top>
      <bottom style="thick">
        <color theme="0" tint="-0.249916074098941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B8D0E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2" fillId="0" borderId="0"/>
    <xf numFmtId="43" fontId="2" fillId="0" borderId="0" applyFill="0" applyBorder="0" applyAlignment="0" applyProtection="0"/>
    <xf numFmtId="9" fontId="2" fillId="0" borderId="0" applyFill="0" applyBorder="0" applyAlignment="0" applyProtection="0"/>
    <xf numFmtId="0" fontId="26" fillId="0" borderId="0"/>
    <xf numFmtId="167" fontId="26" fillId="0" borderId="0" applyFont="0" applyFill="0" applyBorder="0" applyAlignment="0" applyProtection="0"/>
    <xf numFmtId="0" fontId="42" fillId="0" borderId="0"/>
  </cellStyleXfs>
  <cellXfs count="745">
    <xf numFmtId="0" fontId="0" fillId="0" borderId="0" xfId="0"/>
    <xf numFmtId="0" fontId="4" fillId="2" borderId="0" xfId="1" applyFont="1" applyFill="1" applyAlignment="1"/>
    <xf numFmtId="43" fontId="4" fillId="2" borderId="0" xfId="2" applyFont="1" applyFill="1" applyAlignment="1"/>
    <xf numFmtId="9" fontId="5" fillId="2" borderId="0" xfId="3" applyFont="1" applyFill="1" applyAlignment="1"/>
    <xf numFmtId="0" fontId="5" fillId="2" borderId="0" xfId="1" applyFont="1" applyFill="1" applyAlignment="1"/>
    <xf numFmtId="0" fontId="6" fillId="2" borderId="0" xfId="1" applyFont="1" applyFill="1" applyAlignment="1">
      <alignment horizontal="center"/>
    </xf>
    <xf numFmtId="0" fontId="3" fillId="2" borderId="0" xfId="1" applyFont="1" applyFill="1" applyAlignment="1"/>
    <xf numFmtId="43" fontId="5" fillId="2" borderId="0" xfId="1" applyNumberFormat="1" applyFont="1" applyFill="1" applyAlignment="1"/>
    <xf numFmtId="0" fontId="7" fillId="2" borderId="0" xfId="1" applyFont="1" applyFill="1" applyAlignment="1"/>
    <xf numFmtId="9" fontId="9" fillId="2" borderId="0" xfId="3" applyFont="1" applyFill="1" applyAlignment="1"/>
    <xf numFmtId="0" fontId="5" fillId="2" borderId="0" xfId="1" applyFont="1" applyFill="1" applyAlignment="1">
      <alignment wrapText="1"/>
    </xf>
    <xf numFmtId="0" fontId="10" fillId="2" borderId="0" xfId="1" applyFont="1" applyFill="1" applyAlignment="1"/>
    <xf numFmtId="9" fontId="10" fillId="2" borderId="0" xfId="3" applyFont="1" applyFill="1" applyAlignment="1"/>
    <xf numFmtId="43" fontId="10" fillId="2" borderId="0" xfId="1" applyNumberFormat="1" applyFont="1" applyFill="1" applyAlignment="1"/>
    <xf numFmtId="43" fontId="11" fillId="3" borderId="1" xfId="2" applyNumberFormat="1" applyFont="1" applyFill="1" applyBorder="1" applyAlignment="1">
      <alignment horizontal="center" vertical="center" wrapText="1" shrinkToFit="1"/>
    </xf>
    <xf numFmtId="43" fontId="11" fillId="3" borderId="1" xfId="2" applyNumberFormat="1" applyFont="1" applyFill="1" applyBorder="1" applyAlignment="1">
      <alignment horizontal="center" vertical="center"/>
    </xf>
    <xf numFmtId="0" fontId="12" fillId="2" borderId="0" xfId="1" applyFont="1" applyFill="1" applyAlignment="1"/>
    <xf numFmtId="43" fontId="12" fillId="2" borderId="2" xfId="2" applyNumberFormat="1" applyFont="1" applyFill="1" applyBorder="1" applyAlignment="1">
      <alignment horizontal="center" vertical="center" wrapText="1" shrinkToFit="1"/>
    </xf>
    <xf numFmtId="43" fontId="12" fillId="2" borderId="2" xfId="2" applyNumberFormat="1" applyFont="1" applyFill="1" applyBorder="1" applyAlignment="1">
      <alignment horizontal="center" vertical="center"/>
    </xf>
    <xf numFmtId="165" fontId="13" fillId="2" borderId="0" xfId="1" applyNumberFormat="1" applyFont="1" applyFill="1" applyBorder="1" applyAlignment="1"/>
    <xf numFmtId="0" fontId="13" fillId="2" borderId="0" xfId="1" applyFont="1" applyFill="1" applyBorder="1" applyAlignment="1"/>
    <xf numFmtId="0" fontId="14" fillId="4" borderId="3" xfId="1" applyFont="1" applyFill="1" applyBorder="1" applyAlignment="1">
      <alignment vertical="center"/>
    </xf>
    <xf numFmtId="0" fontId="11" fillId="4" borderId="4" xfId="1" applyFont="1" applyFill="1" applyBorder="1" applyAlignment="1"/>
    <xf numFmtId="43" fontId="14" fillId="4" borderId="1" xfId="1" applyNumberFormat="1" applyFont="1" applyFill="1" applyBorder="1" applyAlignment="1"/>
    <xf numFmtId="43" fontId="5" fillId="2" borderId="0" xfId="3" applyNumberFormat="1" applyFont="1" applyFill="1" applyAlignment="1"/>
    <xf numFmtId="0" fontId="5" fillId="5" borderId="0" xfId="1" applyFont="1" applyFill="1" applyAlignment="1"/>
    <xf numFmtId="0" fontId="15" fillId="5" borderId="5" xfId="1" applyFont="1" applyFill="1" applyBorder="1" applyAlignment="1">
      <alignment vertical="center"/>
    </xf>
    <xf numFmtId="0" fontId="12" fillId="5" borderId="5" xfId="1" applyFont="1" applyFill="1" applyBorder="1" applyAlignment="1"/>
    <xf numFmtId="43" fontId="15" fillId="5" borderId="0" xfId="1" applyNumberFormat="1" applyFont="1" applyFill="1" applyBorder="1" applyAlignment="1"/>
    <xf numFmtId="43" fontId="12" fillId="5" borderId="0" xfId="1" applyNumberFormat="1" applyFont="1" applyFill="1" applyBorder="1" applyAlignment="1"/>
    <xf numFmtId="0" fontId="4" fillId="2" borderId="6" xfId="1" applyNumberFormat="1" applyFont="1" applyFill="1" applyBorder="1" applyAlignment="1">
      <alignment vertical="center"/>
    </xf>
    <xf numFmtId="43" fontId="4" fillId="2" borderId="0" xfId="1" applyNumberFormat="1" applyFont="1" applyFill="1" applyAlignment="1"/>
    <xf numFmtId="0" fontId="4" fillId="5" borderId="0" xfId="1" applyFont="1" applyFill="1" applyAlignment="1"/>
    <xf numFmtId="0" fontId="11" fillId="6" borderId="1" xfId="1" applyFont="1" applyFill="1" applyBorder="1" applyAlignment="1">
      <alignment vertical="center"/>
    </xf>
    <xf numFmtId="0" fontId="11" fillId="6" borderId="1" xfId="1" applyFont="1" applyFill="1" applyBorder="1" applyAlignment="1">
      <alignment wrapText="1"/>
    </xf>
    <xf numFmtId="43" fontId="11" fillId="6" borderId="1" xfId="1" applyNumberFormat="1" applyFont="1" applyFill="1" applyBorder="1" applyAlignment="1"/>
    <xf numFmtId="0" fontId="16" fillId="2" borderId="0" xfId="1" applyFont="1" applyFill="1" applyAlignment="1"/>
    <xf numFmtId="0" fontId="17" fillId="2" borderId="6" xfId="1" applyFont="1" applyFill="1" applyBorder="1" applyAlignment="1">
      <alignment vertical="center"/>
    </xf>
    <xf numFmtId="0" fontId="17" fillId="2" borderId="7" xfId="1" applyFont="1" applyFill="1" applyBorder="1" applyAlignment="1">
      <alignment vertical="center"/>
    </xf>
    <xf numFmtId="0" fontId="17" fillId="2" borderId="0" xfId="1" applyFont="1" applyFill="1" applyAlignment="1"/>
    <xf numFmtId="0" fontId="17" fillId="2" borderId="6" xfId="1" applyNumberFormat="1" applyFont="1" applyFill="1" applyBorder="1" applyAlignment="1">
      <alignment vertical="center"/>
    </xf>
    <xf numFmtId="43" fontId="17" fillId="2" borderId="0" xfId="2" applyFont="1" applyFill="1" applyAlignment="1"/>
    <xf numFmtId="0" fontId="17" fillId="2" borderId="8" xfId="1" applyNumberFormat="1" applyFont="1" applyFill="1" applyBorder="1" applyAlignment="1">
      <alignment vertical="center"/>
    </xf>
    <xf numFmtId="0" fontId="16" fillId="5" borderId="0" xfId="1" applyFont="1" applyFill="1" applyAlignment="1"/>
    <xf numFmtId="0" fontId="11" fillId="2" borderId="1" xfId="1" applyFont="1" applyFill="1" applyBorder="1" applyAlignment="1">
      <alignment vertical="center"/>
    </xf>
    <xf numFmtId="0" fontId="11" fillId="2" borderId="1" xfId="1" applyFont="1" applyFill="1" applyBorder="1" applyAlignment="1">
      <alignment wrapText="1"/>
    </xf>
    <xf numFmtId="43" fontId="11" fillId="2" borderId="1" xfId="2" applyFont="1" applyFill="1" applyBorder="1" applyAlignment="1"/>
    <xf numFmtId="43" fontId="11" fillId="2" borderId="1" xfId="1" applyNumberFormat="1" applyFont="1" applyFill="1" applyBorder="1" applyAlignment="1"/>
    <xf numFmtId="0" fontId="17" fillId="2" borderId="8" xfId="1" applyFont="1" applyFill="1" applyBorder="1" applyAlignment="1">
      <alignment vertical="center"/>
    </xf>
    <xf numFmtId="0" fontId="18" fillId="2" borderId="2" xfId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wrapText="1"/>
    </xf>
    <xf numFmtId="43" fontId="12" fillId="2" borderId="1" xfId="2" applyFont="1" applyFill="1" applyBorder="1" applyAlignment="1"/>
    <xf numFmtId="43" fontId="12" fillId="0" borderId="1" xfId="2" applyFont="1" applyFill="1" applyBorder="1" applyAlignment="1"/>
    <xf numFmtId="43" fontId="12" fillId="2" borderId="1" xfId="1" applyNumberFormat="1" applyFont="1" applyFill="1" applyBorder="1" applyAlignment="1"/>
    <xf numFmtId="0" fontId="4" fillId="2" borderId="8" xfId="1" applyFont="1" applyFill="1" applyBorder="1" applyAlignment="1">
      <alignment vertical="center"/>
    </xf>
    <xf numFmtId="0" fontId="19" fillId="2" borderId="2" xfId="1" applyFont="1" applyFill="1" applyBorder="1" applyAlignment="1">
      <alignment vertical="center"/>
    </xf>
    <xf numFmtId="0" fontId="4" fillId="2" borderId="8" xfId="1" applyNumberFormat="1" applyFont="1" applyFill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wrapText="1"/>
    </xf>
    <xf numFmtId="43" fontId="11" fillId="0" borderId="1" xfId="2" applyFont="1" applyFill="1" applyBorder="1" applyAlignment="1"/>
    <xf numFmtId="0" fontId="17" fillId="2" borderId="2" xfId="1" applyFont="1" applyFill="1" applyBorder="1" applyAlignment="1">
      <alignment vertical="center"/>
    </xf>
    <xf numFmtId="43" fontId="17" fillId="2" borderId="0" xfId="1" applyNumberFormat="1" applyFont="1" applyFill="1" applyAlignment="1"/>
    <xf numFmtId="9" fontId="16" fillId="2" borderId="0" xfId="3" applyFont="1" applyFill="1" applyAlignment="1"/>
    <xf numFmtId="43" fontId="16" fillId="2" borderId="0" xfId="1" applyNumberFormat="1" applyFont="1" applyFill="1" applyAlignment="1"/>
    <xf numFmtId="0" fontId="4" fillId="2" borderId="2" xfId="1" applyFont="1" applyFill="1" applyBorder="1" applyAlignment="1">
      <alignment vertical="center"/>
    </xf>
    <xf numFmtId="43" fontId="5" fillId="2" borderId="0" xfId="2" applyFont="1" applyFill="1" applyAlignment="1"/>
    <xf numFmtId="0" fontId="11" fillId="2" borderId="1" xfId="1" applyFont="1" applyFill="1" applyBorder="1" applyAlignment="1"/>
    <xf numFmtId="0" fontId="12" fillId="2" borderId="1" xfId="1" applyFont="1" applyFill="1" applyBorder="1" applyAlignment="1"/>
    <xf numFmtId="0" fontId="18" fillId="2" borderId="8" xfId="1" applyFont="1" applyFill="1" applyBorder="1" applyAlignment="1">
      <alignment vertical="center"/>
    </xf>
    <xf numFmtId="43" fontId="12" fillId="0" borderId="1" xfId="1" applyNumberFormat="1" applyFont="1" applyFill="1" applyBorder="1" applyAlignment="1"/>
    <xf numFmtId="0" fontId="19" fillId="2" borderId="8" xfId="1" applyFont="1" applyFill="1" applyBorder="1" applyAlignment="1">
      <alignment vertical="center"/>
    </xf>
    <xf numFmtId="43" fontId="2" fillId="2" borderId="0" xfId="2" applyFill="1" applyAlignment="1"/>
    <xf numFmtId="43" fontId="16" fillId="2" borderId="0" xfId="3" applyNumberFormat="1" applyFont="1" applyFill="1" applyAlignment="1"/>
    <xf numFmtId="0" fontId="2" fillId="0" borderId="0" xfId="1" applyNumberFormat="1"/>
    <xf numFmtId="0" fontId="12" fillId="2" borderId="1" xfId="1" applyFont="1" applyFill="1" applyBorder="1" applyAlignment="1">
      <alignment vertical="center" wrapText="1"/>
    </xf>
    <xf numFmtId="43" fontId="12" fillId="2" borderId="1" xfId="2" applyFont="1" applyFill="1" applyBorder="1" applyAlignment="1">
      <alignment horizontal="center" vertical="center"/>
    </xf>
    <xf numFmtId="43" fontId="12" fillId="2" borderId="1" xfId="1" applyNumberFormat="1" applyFont="1" applyFill="1" applyBorder="1" applyAlignment="1">
      <alignment vertical="center"/>
    </xf>
    <xf numFmtId="0" fontId="12" fillId="2" borderId="1" xfId="1" applyFont="1" applyFill="1" applyBorder="1" applyAlignment="1">
      <alignment horizontal="left" wrapText="1"/>
    </xf>
    <xf numFmtId="43" fontId="12" fillId="2" borderId="1" xfId="2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43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3" fontId="12" fillId="2" borderId="1" xfId="1" applyNumberFormat="1" applyFont="1" applyFill="1" applyBorder="1" applyAlignment="1">
      <alignment wrapText="1"/>
    </xf>
    <xf numFmtId="0" fontId="12" fillId="2" borderId="2" xfId="1" applyFont="1" applyFill="1" applyBorder="1" applyAlignment="1">
      <alignment vertical="center"/>
    </xf>
    <xf numFmtId="0" fontId="12" fillId="2" borderId="2" xfId="1" applyFont="1" applyFill="1" applyBorder="1" applyAlignment="1">
      <alignment wrapText="1"/>
    </xf>
    <xf numFmtId="43" fontId="12" fillId="2" borderId="9" xfId="2" applyFont="1" applyFill="1" applyBorder="1" applyAlignment="1"/>
    <xf numFmtId="0" fontId="12" fillId="2" borderId="0" xfId="1" applyFont="1" applyFill="1" applyBorder="1" applyAlignment="1"/>
    <xf numFmtId="0" fontId="21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" fillId="0" borderId="0" xfId="1" applyFont="1" applyFill="1" applyBorder="1" applyAlignment="1"/>
    <xf numFmtId="0" fontId="20" fillId="0" borderId="0" xfId="1" applyFont="1" applyFill="1" applyAlignment="1"/>
    <xf numFmtId="0" fontId="22" fillId="0" borderId="0" xfId="1" applyFont="1" applyFill="1" applyAlignment="1"/>
    <xf numFmtId="0" fontId="20" fillId="0" borderId="0" xfId="1" applyFont="1" applyFill="1" applyBorder="1" applyAlignment="1"/>
    <xf numFmtId="0" fontId="20" fillId="0" borderId="0" xfId="1" applyFont="1" applyBorder="1" applyAlignment="1">
      <alignment vertical="top"/>
    </xf>
    <xf numFmtId="0" fontId="12" fillId="2" borderId="2" xfId="1" applyFont="1" applyFill="1" applyBorder="1" applyAlignment="1"/>
    <xf numFmtId="43" fontId="12" fillId="2" borderId="2" xfId="2" applyFont="1" applyFill="1" applyBorder="1" applyAlignment="1"/>
    <xf numFmtId="0" fontId="12" fillId="2" borderId="7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2" xfId="1" applyFont="1" applyFill="1" applyBorder="1" applyAlignment="1"/>
    <xf numFmtId="43" fontId="5" fillId="2" borderId="2" xfId="2" applyFont="1" applyFill="1" applyBorder="1" applyAlignment="1"/>
    <xf numFmtId="0" fontId="5" fillId="2" borderId="0" xfId="1" applyFont="1" applyFill="1" applyBorder="1" applyAlignment="1"/>
    <xf numFmtId="0" fontId="5" fillId="2" borderId="7" xfId="1" applyFont="1" applyFill="1" applyBorder="1" applyAlignment="1">
      <alignment vertical="center"/>
    </xf>
    <xf numFmtId="0" fontId="27" fillId="0" borderId="0" xfId="4" applyFont="1" applyFill="1" applyAlignment="1"/>
    <xf numFmtId="43" fontId="2" fillId="0" borderId="0" xfId="2" applyFill="1" applyAlignment="1"/>
    <xf numFmtId="0" fontId="27" fillId="0" borderId="10" xfId="4" applyFont="1" applyFill="1" applyBorder="1" applyAlignment="1"/>
    <xf numFmtId="0" fontId="28" fillId="0" borderId="0" xfId="1" applyFont="1" applyFill="1" applyBorder="1" applyAlignment="1">
      <alignment horizontal="center" vertical="center" wrapText="1"/>
    </xf>
    <xf numFmtId="166" fontId="28" fillId="0" borderId="0" xfId="1" applyNumberFormat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7" fillId="0" borderId="0" xfId="4" applyFont="1" applyFill="1" applyBorder="1" applyAlignment="1"/>
    <xf numFmtId="3" fontId="25" fillId="0" borderId="0" xfId="1" applyNumberFormat="1" applyFont="1" applyFill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 wrapText="1"/>
    </xf>
    <xf numFmtId="3" fontId="28" fillId="0" borderId="0" xfId="4" applyNumberFormat="1" applyFont="1" applyFill="1" applyBorder="1" applyAlignment="1"/>
    <xf numFmtId="0" fontId="30" fillId="0" borderId="0" xfId="1" applyFont="1" applyFill="1" applyBorder="1" applyAlignment="1">
      <alignment vertical="center"/>
    </xf>
    <xf numFmtId="0" fontId="27" fillId="0" borderId="0" xfId="4" applyFont="1" applyAlignment="1"/>
    <xf numFmtId="0" fontId="27" fillId="0" borderId="0" xfId="4" applyFont="1" applyBorder="1" applyAlignment="1"/>
    <xf numFmtId="167" fontId="30" fillId="7" borderId="1" xfId="5" applyFont="1" applyFill="1" applyBorder="1" applyAlignment="1">
      <alignment horizontal="center" vertical="center" wrapText="1"/>
    </xf>
    <xf numFmtId="1" fontId="30" fillId="3" borderId="1" xfId="4" applyNumberFormat="1" applyFont="1" applyFill="1" applyBorder="1" applyAlignment="1">
      <alignment vertical="center"/>
    </xf>
    <xf numFmtId="0" fontId="30" fillId="3" borderId="1" xfId="4" applyFont="1" applyFill="1" applyBorder="1" applyAlignment="1">
      <alignment horizontal="left" vertical="center"/>
    </xf>
    <xf numFmtId="166" fontId="30" fillId="3" borderId="1" xfId="5" applyNumberFormat="1" applyFont="1" applyFill="1" applyBorder="1" applyAlignment="1">
      <alignment vertical="center"/>
    </xf>
    <xf numFmtId="9" fontId="30" fillId="3" borderId="1" xfId="3" applyFont="1" applyFill="1" applyBorder="1" applyAlignment="1">
      <alignment vertical="center"/>
    </xf>
    <xf numFmtId="0" fontId="28" fillId="0" borderId="0" xfId="4" applyFont="1" applyFill="1" applyBorder="1" applyAlignment="1"/>
    <xf numFmtId="0" fontId="33" fillId="0" borderId="0" xfId="1" applyFont="1" applyFill="1" applyAlignment="1"/>
    <xf numFmtId="0" fontId="28" fillId="0" borderId="0" xfId="4" applyFont="1" applyBorder="1" applyAlignment="1"/>
    <xf numFmtId="0" fontId="34" fillId="0" borderId="0" xfId="4" applyFont="1" applyFill="1" applyBorder="1" applyAlignment="1">
      <alignment vertical="center"/>
    </xf>
    <xf numFmtId="1" fontId="30" fillId="8" borderId="1" xfId="4" applyNumberFormat="1" applyFont="1" applyFill="1" applyBorder="1" applyAlignment="1">
      <alignment vertical="center"/>
    </xf>
    <xf numFmtId="0" fontId="30" fillId="8" borderId="1" xfId="4" applyFont="1" applyFill="1" applyBorder="1" applyAlignment="1">
      <alignment horizontal="left" vertical="center"/>
    </xf>
    <xf numFmtId="3" fontId="30" fillId="8" borderId="1" xfId="5" applyNumberFormat="1" applyFont="1" applyFill="1" applyBorder="1" applyAlignment="1">
      <alignment vertical="center"/>
    </xf>
    <xf numFmtId="10" fontId="30" fillId="8" borderId="1" xfId="4" applyNumberFormat="1" applyFont="1" applyFill="1" applyBorder="1" applyAlignment="1">
      <alignment vertical="center"/>
    </xf>
    <xf numFmtId="0" fontId="2" fillId="0" borderId="0" xfId="1" applyFont="1" applyAlignment="1"/>
    <xf numFmtId="0" fontId="20" fillId="0" borderId="0" xfId="4" applyFont="1" applyFill="1" applyBorder="1" applyAlignment="1">
      <alignment vertical="center"/>
    </xf>
    <xf numFmtId="3" fontId="30" fillId="9" borderId="1" xfId="4" applyNumberFormat="1" applyFont="1" applyFill="1" applyBorder="1" applyAlignment="1">
      <alignment horizontal="left" vertical="center"/>
    </xf>
    <xf numFmtId="3" fontId="30" fillId="9" borderId="1" xfId="4" applyNumberFormat="1" applyFont="1" applyFill="1" applyBorder="1" applyAlignment="1">
      <alignment horizontal="left" vertical="center" wrapText="1"/>
    </xf>
    <xf numFmtId="3" fontId="30" fillId="9" borderId="1" xfId="5" applyNumberFormat="1" applyFont="1" applyFill="1" applyBorder="1" applyAlignment="1">
      <alignment horizontal="right" vertical="center"/>
    </xf>
    <xf numFmtId="10" fontId="30" fillId="4" borderId="1" xfId="3" applyNumberFormat="1" applyFont="1" applyFill="1" applyBorder="1" applyAlignment="1">
      <alignment horizontal="right" vertical="center"/>
    </xf>
    <xf numFmtId="0" fontId="34" fillId="0" borderId="0" xfId="4" applyFont="1" applyFill="1" applyBorder="1" applyAlignment="1"/>
    <xf numFmtId="3" fontId="30" fillId="10" borderId="1" xfId="4" applyNumberFormat="1" applyFont="1" applyFill="1" applyBorder="1" applyAlignment="1">
      <alignment horizontal="left" vertical="center"/>
    </xf>
    <xf numFmtId="3" fontId="30" fillId="10" borderId="1" xfId="5" applyNumberFormat="1" applyFont="1" applyFill="1" applyBorder="1" applyAlignment="1">
      <alignment horizontal="right" vertical="center"/>
    </xf>
    <xf numFmtId="10" fontId="30" fillId="10" borderId="1" xfId="3" applyNumberFormat="1" applyFont="1" applyFill="1" applyBorder="1" applyAlignment="1">
      <alignment horizontal="right" vertical="center"/>
    </xf>
    <xf numFmtId="0" fontId="2" fillId="0" borderId="0" xfId="1" applyNumberFormat="1" applyFont="1" applyAlignment="1"/>
    <xf numFmtId="3" fontId="31" fillId="0" borderId="1" xfId="4" applyNumberFormat="1" applyFont="1" applyFill="1" applyBorder="1" applyAlignment="1">
      <alignment horizontal="left" vertical="center"/>
    </xf>
    <xf numFmtId="3" fontId="31" fillId="0" borderId="1" xfId="5" applyNumberFormat="1" applyFont="1" applyFill="1" applyBorder="1" applyAlignment="1">
      <alignment horizontal="right" vertical="center"/>
    </xf>
    <xf numFmtId="3" fontId="31" fillId="0" borderId="1" xfId="5" applyNumberFormat="1" applyFont="1" applyFill="1" applyBorder="1" applyAlignment="1">
      <alignment vertical="center"/>
    </xf>
    <xf numFmtId="10" fontId="31" fillId="0" borderId="1" xfId="3" applyNumberFormat="1" applyFont="1" applyFill="1" applyBorder="1" applyAlignment="1">
      <alignment vertical="center"/>
    </xf>
    <xf numFmtId="43" fontId="2" fillId="11" borderId="0" xfId="1" applyNumberFormat="1" applyFont="1" applyFill="1" applyAlignment="1"/>
    <xf numFmtId="43" fontId="2" fillId="0" borderId="0" xfId="1" applyNumberFormat="1" applyFont="1" applyAlignment="1"/>
    <xf numFmtId="3" fontId="31" fillId="12" borderId="1" xfId="5" applyNumberFormat="1" applyFont="1" applyFill="1" applyBorder="1" applyAlignment="1">
      <alignment horizontal="right" vertical="center"/>
    </xf>
    <xf numFmtId="3" fontId="31" fillId="0" borderId="1" xfId="4" applyNumberFormat="1" applyFont="1" applyBorder="1" applyAlignment="1">
      <alignment horizontal="left" vertical="center"/>
    </xf>
    <xf numFmtId="43" fontId="2" fillId="0" borderId="0" xfId="2" applyAlignment="1"/>
    <xf numFmtId="10" fontId="31" fillId="0" borderId="1" xfId="3" applyNumberFormat="1" applyFont="1" applyFill="1" applyBorder="1" applyAlignment="1">
      <alignment horizontal="right" vertical="center"/>
    </xf>
    <xf numFmtId="3" fontId="30" fillId="0" borderId="1" xfId="4" applyNumberFormat="1" applyFont="1" applyFill="1" applyBorder="1" applyAlignment="1">
      <alignment horizontal="left" vertical="center"/>
    </xf>
    <xf numFmtId="3" fontId="30" fillId="0" borderId="1" xfId="4" applyNumberFormat="1" applyFont="1" applyFill="1" applyBorder="1" applyAlignment="1">
      <alignment vertical="center" wrapText="1"/>
    </xf>
    <xf numFmtId="3" fontId="30" fillId="0" borderId="1" xfId="5" applyNumberFormat="1" applyFont="1" applyFill="1" applyBorder="1" applyAlignment="1">
      <alignment horizontal="right" vertical="center"/>
    </xf>
    <xf numFmtId="10" fontId="30" fillId="0" borderId="1" xfId="3" applyNumberFormat="1" applyFont="1" applyFill="1" applyBorder="1" applyAlignment="1">
      <alignment horizontal="right" vertical="center"/>
    </xf>
    <xf numFmtId="3" fontId="31" fillId="0" borderId="1" xfId="4" applyNumberFormat="1" applyFont="1" applyFill="1" applyBorder="1" applyAlignment="1">
      <alignment horizontal="left" vertical="center" wrapText="1"/>
    </xf>
    <xf numFmtId="3" fontId="30" fillId="8" borderId="1" xfId="4" applyNumberFormat="1" applyFont="1" applyFill="1" applyBorder="1" applyAlignment="1">
      <alignment vertical="center"/>
    </xf>
    <xf numFmtId="3" fontId="30" fillId="8" borderId="1" xfId="5" applyNumberFormat="1" applyFont="1" applyFill="1" applyBorder="1" applyAlignment="1">
      <alignment horizontal="right" vertical="center"/>
    </xf>
    <xf numFmtId="3" fontId="30" fillId="4" borderId="1" xfId="4" applyNumberFormat="1" applyFont="1" applyFill="1" applyBorder="1" applyAlignment="1">
      <alignment horizontal="left" vertical="center"/>
    </xf>
    <xf numFmtId="3" fontId="30" fillId="4" borderId="1" xfId="5" applyNumberFormat="1" applyFont="1" applyFill="1" applyBorder="1" applyAlignment="1">
      <alignment horizontal="right" vertical="center"/>
    </xf>
    <xf numFmtId="167" fontId="27" fillId="0" borderId="0" xfId="5" applyFont="1" applyAlignment="1">
      <alignment horizontal="center"/>
    </xf>
    <xf numFmtId="167" fontId="27" fillId="0" borderId="0" xfId="5" applyFont="1" applyAlignment="1"/>
    <xf numFmtId="3" fontId="31" fillId="0" borderId="1" xfId="4" applyNumberFormat="1" applyFont="1" applyBorder="1" applyAlignment="1">
      <alignment horizontal="left"/>
    </xf>
    <xf numFmtId="3" fontId="31" fillId="0" borderId="1" xfId="5" applyNumberFormat="1" applyFont="1" applyFill="1" applyBorder="1" applyAlignment="1">
      <alignment horizontal="right"/>
    </xf>
    <xf numFmtId="3" fontId="31" fillId="0" borderId="1" xfId="4" applyNumberFormat="1" applyFont="1" applyFill="1" applyBorder="1" applyAlignment="1">
      <alignment horizontal="left"/>
    </xf>
    <xf numFmtId="0" fontId="27" fillId="0" borderId="0" xfId="4" applyFont="1" applyFill="1" applyBorder="1" applyAlignment="1">
      <alignment vertical="center"/>
    </xf>
    <xf numFmtId="0" fontId="27" fillId="0" borderId="0" xfId="4" applyFont="1" applyBorder="1" applyAlignment="1">
      <alignment vertical="center"/>
    </xf>
    <xf numFmtId="3" fontId="31" fillId="0" borderId="1" xfId="4" applyNumberFormat="1" applyFont="1" applyBorder="1" applyAlignment="1">
      <alignment horizontal="left" indent="2"/>
    </xf>
    <xf numFmtId="3" fontId="31" fillId="0" borderId="1" xfId="5" applyNumberFormat="1" applyFont="1" applyBorder="1" applyAlignment="1">
      <alignment horizontal="right"/>
    </xf>
    <xf numFmtId="3" fontId="30" fillId="0" borderId="1" xfId="5" applyNumberFormat="1" applyFont="1" applyFill="1" applyBorder="1" applyAlignment="1">
      <alignment vertical="center" readingOrder="1"/>
    </xf>
    <xf numFmtId="10" fontId="30" fillId="0" borderId="1" xfId="3" applyNumberFormat="1" applyFont="1" applyFill="1" applyBorder="1" applyAlignment="1">
      <alignment vertical="center" readingOrder="1"/>
    </xf>
    <xf numFmtId="3" fontId="31" fillId="0" borderId="1" xfId="4" applyNumberFormat="1" applyFont="1" applyFill="1" applyBorder="1" applyAlignment="1"/>
    <xf numFmtId="3" fontId="31" fillId="0" borderId="1" xfId="5" applyNumberFormat="1" applyFont="1" applyFill="1" applyBorder="1" applyAlignment="1">
      <alignment vertical="center" readingOrder="1"/>
    </xf>
    <xf numFmtId="3" fontId="30" fillId="13" borderId="1" xfId="4" applyNumberFormat="1" applyFont="1" applyFill="1" applyBorder="1" applyAlignment="1">
      <alignment vertical="center"/>
    </xf>
    <xf numFmtId="3" fontId="30" fillId="13" borderId="1" xfId="5" applyNumberFormat="1" applyFont="1" applyFill="1" applyBorder="1" applyAlignment="1">
      <alignment horizontal="right" vertical="center"/>
    </xf>
    <xf numFmtId="3" fontId="30" fillId="14" borderId="1" xfId="4" applyNumberFormat="1" applyFont="1" applyFill="1" applyBorder="1" applyAlignment="1">
      <alignment horizontal="left"/>
    </xf>
    <xf numFmtId="3" fontId="30" fillId="14" borderId="1" xfId="4" applyNumberFormat="1" applyFont="1" applyFill="1" applyBorder="1" applyAlignment="1">
      <alignment horizontal="left" indent="1"/>
    </xf>
    <xf numFmtId="3" fontId="30" fillId="14" borderId="1" xfId="5" applyNumberFormat="1" applyFont="1" applyFill="1" applyBorder="1" applyAlignment="1">
      <alignment horizontal="right"/>
    </xf>
    <xf numFmtId="3" fontId="30" fillId="0" borderId="1" xfId="5" applyNumberFormat="1" applyFont="1" applyFill="1" applyBorder="1" applyAlignment="1">
      <alignment horizontal="right"/>
    </xf>
    <xf numFmtId="3" fontId="30" fillId="0" borderId="1" xfId="4" applyNumberFormat="1" applyFont="1" applyFill="1" applyBorder="1" applyAlignment="1">
      <alignment horizontal="left"/>
    </xf>
    <xf numFmtId="3" fontId="30" fillId="0" borderId="1" xfId="4" applyNumberFormat="1" applyFont="1" applyFill="1" applyBorder="1" applyAlignment="1">
      <alignment horizontal="left" indent="1"/>
    </xf>
    <xf numFmtId="3" fontId="30" fillId="0" borderId="1" xfId="4" applyNumberFormat="1" applyFont="1" applyFill="1" applyBorder="1" applyAlignment="1"/>
    <xf numFmtId="3" fontId="31" fillId="0" borderId="1" xfId="4" applyNumberFormat="1" applyFont="1" applyBorder="1" applyAlignment="1"/>
    <xf numFmtId="3" fontId="31" fillId="0" borderId="1" xfId="4" applyNumberFormat="1" applyFont="1" applyFill="1" applyBorder="1" applyAlignment="1">
      <alignment horizontal="left" indent="2"/>
    </xf>
    <xf numFmtId="10" fontId="30" fillId="0" borderId="1" xfId="3" applyNumberFormat="1" applyFont="1" applyFill="1" applyBorder="1" applyAlignment="1">
      <alignment vertical="center"/>
    </xf>
    <xf numFmtId="0" fontId="31" fillId="0" borderId="1" xfId="4" applyFont="1" applyFill="1" applyBorder="1" applyAlignment="1"/>
    <xf numFmtId="3" fontId="31" fillId="0" borderId="1" xfId="5" applyNumberFormat="1" applyFont="1" applyFill="1" applyBorder="1" applyAlignment="1">
      <alignment horizontal="center"/>
    </xf>
    <xf numFmtId="3" fontId="31" fillId="0" borderId="1" xfId="5" applyNumberFormat="1" applyFont="1" applyFill="1" applyBorder="1" applyAlignment="1"/>
    <xf numFmtId="0" fontId="30" fillId="0" borderId="1" xfId="4" applyFont="1" applyFill="1" applyBorder="1" applyAlignment="1">
      <alignment horizontal="left"/>
    </xf>
    <xf numFmtId="3" fontId="30" fillId="0" borderId="1" xfId="4" applyNumberFormat="1" applyFont="1" applyFill="1" applyBorder="1" applyAlignment="1">
      <alignment horizontal="right"/>
    </xf>
    <xf numFmtId="0" fontId="30" fillId="0" borderId="1" xfId="1" applyFont="1" applyFill="1" applyBorder="1" applyAlignment="1"/>
    <xf numFmtId="0" fontId="31" fillId="0" borderId="1" xfId="4" applyFont="1" applyFill="1" applyBorder="1" applyAlignment="1">
      <alignment horizontal="left"/>
    </xf>
    <xf numFmtId="0" fontId="31" fillId="0" borderId="1" xfId="1" applyFont="1" applyFill="1" applyBorder="1" applyAlignment="1">
      <alignment horizontal="left"/>
    </xf>
    <xf numFmtId="3" fontId="31" fillId="0" borderId="1" xfId="4" applyNumberFormat="1" applyFont="1" applyFill="1" applyBorder="1" applyAlignment="1">
      <alignment horizontal="right"/>
    </xf>
    <xf numFmtId="0" fontId="36" fillId="0" borderId="0" xfId="4" applyFont="1" applyFill="1" applyBorder="1" applyAlignment="1"/>
    <xf numFmtId="3" fontId="31" fillId="0" borderId="1" xfId="4" applyNumberFormat="1" applyFont="1" applyFill="1" applyBorder="1" applyAlignment="1">
      <alignment horizontal="left" indent="1"/>
    </xf>
    <xf numFmtId="3" fontId="31" fillId="0" borderId="1" xfId="4" applyNumberFormat="1" applyFont="1" applyFill="1" applyBorder="1" applyAlignment="1">
      <alignment horizontal="left" wrapText="1"/>
    </xf>
    <xf numFmtId="3" fontId="30" fillId="0" borderId="1" xfId="4" applyNumberFormat="1" applyFont="1" applyFill="1" applyBorder="1" applyAlignment="1">
      <alignment horizontal="left" wrapText="1" indent="1"/>
    </xf>
    <xf numFmtId="0" fontId="31" fillId="0" borderId="1" xfId="4" applyFont="1" applyFill="1" applyBorder="1" applyAlignment="1">
      <alignment horizontal="left" wrapText="1"/>
    </xf>
    <xf numFmtId="3" fontId="30" fillId="12" borderId="1" xfId="4" applyNumberFormat="1" applyFont="1" applyFill="1" applyBorder="1" applyAlignment="1"/>
    <xf numFmtId="3" fontId="31" fillId="12" borderId="1" xfId="4" applyNumberFormat="1" applyFont="1" applyFill="1" applyBorder="1" applyAlignment="1"/>
    <xf numFmtId="0" fontId="27" fillId="0" borderId="0" xfId="4" applyFont="1" applyFill="1" applyBorder="1" applyAlignment="1">
      <alignment horizontal="left"/>
    </xf>
    <xf numFmtId="3" fontId="21" fillId="0" borderId="0" xfId="4" applyNumberFormat="1" applyFont="1" applyFill="1" applyBorder="1" applyAlignment="1"/>
    <xf numFmtId="3" fontId="21" fillId="0" borderId="0" xfId="5" applyNumberFormat="1" applyFont="1" applyFill="1" applyBorder="1" applyAlignment="1">
      <alignment vertical="center" readingOrder="1"/>
    </xf>
    <xf numFmtId="10" fontId="21" fillId="0" borderId="0" xfId="3" applyNumberFormat="1" applyFont="1" applyFill="1" applyBorder="1" applyAlignment="1">
      <alignment vertical="center"/>
    </xf>
    <xf numFmtId="14" fontId="27" fillId="0" borderId="0" xfId="2" applyNumberFormat="1" applyFont="1" applyFill="1" applyAlignment="1">
      <alignment vertical="center"/>
    </xf>
    <xf numFmtId="3" fontId="21" fillId="0" borderId="0" xfId="1" applyNumberFormat="1" applyFont="1" applyFill="1" applyAlignment="1">
      <alignment vertical="center"/>
    </xf>
    <xf numFmtId="43" fontId="22" fillId="0" borderId="0" xfId="2" applyFont="1" applyFill="1" applyAlignment="1">
      <alignment vertical="center"/>
    </xf>
    <xf numFmtId="0" fontId="33" fillId="0" borderId="0" xfId="1" applyFont="1" applyFill="1" applyBorder="1" applyAlignment="1"/>
    <xf numFmtId="0" fontId="21" fillId="0" borderId="0" xfId="1" applyFont="1" applyFill="1" applyBorder="1" applyAlignment="1"/>
    <xf numFmtId="0" fontId="21" fillId="0" borderId="0" xfId="1" applyFont="1" applyBorder="1" applyAlignment="1">
      <alignment vertical="top"/>
    </xf>
    <xf numFmtId="167" fontId="21" fillId="0" borderId="0" xfId="5" applyFont="1" applyAlignment="1">
      <alignment horizontal="center"/>
    </xf>
    <xf numFmtId="167" fontId="21" fillId="0" borderId="0" xfId="5" applyFont="1" applyAlignment="1"/>
    <xf numFmtId="167" fontId="21" fillId="0" borderId="0" xfId="5" applyFont="1" applyFill="1" applyAlignment="1">
      <alignment horizontal="center"/>
    </xf>
    <xf numFmtId="167" fontId="22" fillId="0" borderId="0" xfId="5" applyFont="1" applyFill="1" applyAlignment="1">
      <alignment horizontal="center"/>
    </xf>
    <xf numFmtId="167" fontId="21" fillId="0" borderId="0" xfId="5" applyFont="1" applyFill="1" applyAlignment="1"/>
    <xf numFmtId="0" fontId="21" fillId="0" borderId="0" xfId="4" applyFont="1" applyFill="1" applyAlignment="1"/>
    <xf numFmtId="167" fontId="27" fillId="0" borderId="0" xfId="5" applyFont="1" applyFill="1" applyAlignment="1">
      <alignment horizontal="right"/>
    </xf>
    <xf numFmtId="167" fontId="27" fillId="0" borderId="0" xfId="5" applyFont="1" applyFill="1" applyAlignment="1"/>
    <xf numFmtId="0" fontId="20" fillId="0" borderId="0" xfId="1" applyFont="1" applyBorder="1" applyAlignment="1"/>
    <xf numFmtId="0" fontId="20" fillId="0" borderId="0" xfId="1" applyFont="1" applyBorder="1" applyAlignment="1">
      <alignment horizontal="right"/>
    </xf>
    <xf numFmtId="43" fontId="2" fillId="0" borderId="0" xfId="2" applyBorder="1" applyAlignment="1">
      <alignment horizontal="center"/>
    </xf>
    <xf numFmtId="0" fontId="27" fillId="0" borderId="0" xfId="1" applyFont="1" applyAlignment="1"/>
    <xf numFmtId="0" fontId="37" fillId="0" borderId="0" xfId="1" applyFont="1" applyFill="1" applyBorder="1" applyAlignment="1">
      <alignment vertical="center" wrapText="1"/>
    </xf>
    <xf numFmtId="0" fontId="38" fillId="0" borderId="0" xfId="1" applyFont="1" applyFill="1" applyAlignment="1">
      <alignment vertical="top" wrapText="1"/>
    </xf>
    <xf numFmtId="3" fontId="27" fillId="0" borderId="0" xfId="1" applyNumberFormat="1" applyFont="1" applyAlignment="1"/>
    <xf numFmtId="0" fontId="34" fillId="0" borderId="0" xfId="1" applyFont="1" applyFill="1" applyBorder="1" applyAlignment="1">
      <alignment vertical="center"/>
    </xf>
    <xf numFmtId="0" fontId="34" fillId="15" borderId="1" xfId="1" applyFont="1" applyFill="1" applyBorder="1" applyAlignment="1">
      <alignment vertical="center" wrapText="1"/>
    </xf>
    <xf numFmtId="0" fontId="34" fillId="15" borderId="1" xfId="1" applyFont="1" applyFill="1" applyBorder="1" applyAlignment="1">
      <alignment vertical="center"/>
    </xf>
    <xf numFmtId="43" fontId="2" fillId="15" borderId="1" xfId="2" applyFill="1" applyBorder="1" applyAlignment="1">
      <alignment vertical="center"/>
    </xf>
    <xf numFmtId="0" fontId="34" fillId="15" borderId="11" xfId="1" applyFont="1" applyFill="1" applyBorder="1" applyAlignment="1">
      <alignment vertical="center" wrapText="1"/>
    </xf>
    <xf numFmtId="0" fontId="27" fillId="0" borderId="0" xfId="1" applyFont="1" applyBorder="1" applyAlignment="1"/>
    <xf numFmtId="43" fontId="2" fillId="15" borderId="1" xfId="2" applyFill="1" applyBorder="1" applyAlignment="1">
      <alignment horizontal="center" vertical="center" wrapText="1"/>
    </xf>
    <xf numFmtId="43" fontId="2" fillId="15" borderId="1" xfId="2" applyFill="1" applyBorder="1" applyAlignment="1">
      <alignment horizontal="center" vertical="center"/>
    </xf>
    <xf numFmtId="0" fontId="34" fillId="15" borderId="12" xfId="1" applyFont="1" applyFill="1" applyBorder="1" applyAlignment="1">
      <alignment vertical="center" wrapText="1"/>
    </xf>
    <xf numFmtId="3" fontId="30" fillId="4" borderId="1" xfId="1" applyNumberFormat="1" applyFont="1" applyFill="1" applyBorder="1" applyAlignment="1">
      <alignment vertical="center"/>
    </xf>
    <xf numFmtId="43" fontId="2" fillId="4" borderId="1" xfId="2" applyFill="1" applyBorder="1" applyAlignment="1">
      <alignment horizontal="center" vertical="center"/>
    </xf>
    <xf numFmtId="9" fontId="34" fillId="4" borderId="1" xfId="3" applyFont="1" applyFill="1" applyBorder="1" applyAlignment="1">
      <alignment horizontal="right" vertical="center"/>
    </xf>
    <xf numFmtId="43" fontId="27" fillId="0" borderId="0" xfId="1" applyNumberFormat="1" applyFont="1" applyBorder="1" applyAlignment="1"/>
    <xf numFmtId="1" fontId="34" fillId="6" borderId="1" xfId="1" applyNumberFormat="1" applyFont="1" applyFill="1" applyBorder="1" applyAlignment="1">
      <alignment vertical="center"/>
    </xf>
    <xf numFmtId="1" fontId="34" fillId="6" borderId="1" xfId="1" applyNumberFormat="1" applyFont="1" applyFill="1" applyBorder="1" applyAlignment="1">
      <alignment horizontal="right" vertical="center"/>
    </xf>
    <xf numFmtId="1" fontId="34" fillId="6" borderId="1" xfId="1" applyNumberFormat="1" applyFont="1" applyFill="1" applyBorder="1" applyAlignment="1">
      <alignment vertical="center" wrapText="1"/>
    </xf>
    <xf numFmtId="43" fontId="2" fillId="6" borderId="1" xfId="2" applyFill="1" applyBorder="1" applyAlignment="1">
      <alignment horizontal="center" vertical="center"/>
    </xf>
    <xf numFmtId="10" fontId="34" fillId="6" borderId="1" xfId="1" applyNumberFormat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43" fontId="27" fillId="0" borderId="0" xfId="1" applyNumberFormat="1" applyFont="1" applyAlignment="1">
      <alignment vertical="center"/>
    </xf>
    <xf numFmtId="1" fontId="20" fillId="0" borderId="1" xfId="1" applyNumberFormat="1" applyFont="1" applyBorder="1" applyAlignment="1"/>
    <xf numFmtId="1" fontId="39" fillId="0" borderId="1" xfId="1" applyNumberFormat="1" applyFont="1" applyBorder="1" applyAlignment="1">
      <alignment horizontal="right"/>
    </xf>
    <xf numFmtId="3" fontId="34" fillId="0" borderId="1" xfId="1" applyNumberFormat="1" applyFont="1" applyBorder="1" applyAlignment="1">
      <alignment horizontal="left" wrapText="1"/>
    </xf>
    <xf numFmtId="43" fontId="2" fillId="0" borderId="1" xfId="2" applyBorder="1" applyAlignment="1"/>
    <xf numFmtId="43" fontId="2" fillId="0" borderId="1" xfId="2" applyBorder="1" applyAlignment="1">
      <alignment horizontal="center"/>
    </xf>
    <xf numFmtId="10" fontId="34" fillId="0" borderId="1" xfId="1" applyNumberFormat="1" applyFont="1" applyFill="1" applyBorder="1" applyAlignment="1"/>
    <xf numFmtId="0" fontId="28" fillId="0" borderId="0" xfId="1" applyFont="1" applyAlignment="1"/>
    <xf numFmtId="1" fontId="20" fillId="0" borderId="1" xfId="1" applyNumberFormat="1" applyFont="1" applyBorder="1" applyAlignment="1">
      <alignment horizontal="right"/>
    </xf>
    <xf numFmtId="3" fontId="20" fillId="0" borderId="1" xfId="1" applyNumberFormat="1" applyFont="1" applyBorder="1" applyAlignment="1">
      <alignment horizontal="left" wrapText="1"/>
    </xf>
    <xf numFmtId="10" fontId="20" fillId="0" borderId="1" xfId="1" applyNumberFormat="1" applyFont="1" applyFill="1" applyBorder="1" applyAlignment="1"/>
    <xf numFmtId="1" fontId="20" fillId="0" borderId="1" xfId="1" applyNumberFormat="1" applyFont="1" applyFill="1" applyBorder="1" applyAlignment="1"/>
    <xf numFmtId="43" fontId="2" fillId="2" borderId="1" xfId="2" applyFill="1" applyBorder="1" applyAlignment="1"/>
    <xf numFmtId="43" fontId="2" fillId="2" borderId="1" xfId="2" applyFill="1" applyBorder="1" applyAlignment="1">
      <alignment horizontal="center"/>
    </xf>
    <xf numFmtId="43" fontId="2" fillId="6" borderId="1" xfId="2" applyFill="1" applyBorder="1" applyAlignment="1">
      <alignment vertical="center"/>
    </xf>
    <xf numFmtId="0" fontId="28" fillId="0" borderId="0" xfId="1" applyFont="1" applyAlignment="1">
      <alignment vertical="center"/>
    </xf>
    <xf numFmtId="1" fontId="20" fillId="2" borderId="1" xfId="1" applyNumberFormat="1" applyFont="1" applyFill="1" applyBorder="1" applyAlignment="1"/>
    <xf numFmtId="1" fontId="20" fillId="2" borderId="1" xfId="1" applyNumberFormat="1" applyFont="1" applyFill="1" applyBorder="1" applyAlignment="1">
      <alignment horizontal="right"/>
    </xf>
    <xf numFmtId="1" fontId="20" fillId="2" borderId="1" xfId="1" applyNumberFormat="1" applyFont="1" applyFill="1" applyBorder="1" applyAlignment="1">
      <alignment wrapText="1"/>
    </xf>
    <xf numFmtId="10" fontId="20" fillId="2" borderId="1" xfId="1" applyNumberFormat="1" applyFont="1" applyFill="1" applyBorder="1" applyAlignment="1"/>
    <xf numFmtId="0" fontId="27" fillId="0" borderId="0" xfId="1" applyFont="1" applyFill="1" applyAlignment="1"/>
    <xf numFmtId="43" fontId="27" fillId="0" borderId="0" xfId="1" applyNumberFormat="1" applyFont="1" applyFill="1" applyAlignment="1"/>
    <xf numFmtId="0" fontId="40" fillId="2" borderId="1" xfId="4" applyFont="1" applyFill="1" applyBorder="1" applyAlignment="1">
      <alignment horizontal="left" vertical="center"/>
    </xf>
    <xf numFmtId="0" fontId="28" fillId="0" borderId="0" xfId="1" applyFont="1" applyFill="1" applyAlignment="1"/>
    <xf numFmtId="0" fontId="41" fillId="2" borderId="1" xfId="4" applyFont="1" applyFill="1" applyBorder="1" applyAlignment="1">
      <alignment horizontal="right" vertical="center" wrapText="1"/>
    </xf>
    <xf numFmtId="43" fontId="2" fillId="2" borderId="1" xfId="2" applyFill="1" applyBorder="1" applyAlignment="1">
      <alignment vertical="center"/>
    </xf>
    <xf numFmtId="0" fontId="41" fillId="2" borderId="1" xfId="4" applyFont="1" applyFill="1" applyBorder="1" applyAlignment="1">
      <alignment horizontal="right"/>
    </xf>
    <xf numFmtId="3" fontId="20" fillId="2" borderId="1" xfId="1" applyNumberFormat="1" applyFont="1" applyFill="1" applyBorder="1" applyAlignment="1">
      <alignment horizontal="left" wrapText="1"/>
    </xf>
    <xf numFmtId="0" fontId="40" fillId="2" borderId="1" xfId="4" applyFont="1" applyFill="1" applyBorder="1" applyAlignment="1"/>
    <xf numFmtId="0" fontId="43" fillId="2" borderId="1" xfId="1" applyFont="1" applyFill="1" applyBorder="1" applyAlignment="1">
      <alignment wrapText="1"/>
    </xf>
    <xf numFmtId="0" fontId="40" fillId="2" borderId="1" xfId="4" applyFont="1" applyFill="1" applyBorder="1" applyAlignment="1">
      <alignment vertical="center"/>
    </xf>
    <xf numFmtId="0" fontId="40" fillId="2" borderId="1" xfId="4" applyFont="1" applyFill="1" applyBorder="1" applyAlignment="1">
      <alignment vertical="center" wrapText="1"/>
    </xf>
    <xf numFmtId="1" fontId="20" fillId="2" borderId="1" xfId="1" applyNumberFormat="1" applyFont="1" applyFill="1" applyBorder="1" applyAlignment="1">
      <alignment vertical="center"/>
    </xf>
    <xf numFmtId="0" fontId="41" fillId="2" borderId="1" xfId="4" applyFont="1" applyFill="1" applyBorder="1" applyAlignment="1">
      <alignment horizontal="right" vertical="center"/>
    </xf>
    <xf numFmtId="43" fontId="2" fillId="2" borderId="1" xfId="2" applyFill="1" applyBorder="1" applyAlignment="1">
      <alignment horizontal="center" vertical="center"/>
    </xf>
    <xf numFmtId="10" fontId="20" fillId="2" borderId="1" xfId="1" applyNumberFormat="1" applyFont="1" applyFill="1" applyBorder="1" applyAlignment="1">
      <alignment vertical="center"/>
    </xf>
    <xf numFmtId="0" fontId="28" fillId="0" borderId="0" xfId="1" applyFont="1" applyFill="1" applyAlignment="1">
      <alignment vertical="center"/>
    </xf>
    <xf numFmtId="0" fontId="41" fillId="0" borderId="1" xfId="4" applyFont="1" applyFill="1" applyBorder="1" applyAlignment="1">
      <alignment horizontal="right" vertical="center"/>
    </xf>
    <xf numFmtId="0" fontId="40" fillId="2" borderId="1" xfId="4" applyFont="1" applyFill="1" applyBorder="1" applyAlignment="1">
      <alignment vertical="center" wrapText="1" shrinkToFit="1"/>
    </xf>
    <xf numFmtId="3" fontId="28" fillId="0" borderId="0" xfId="1" applyNumberFormat="1" applyFont="1" applyFill="1" applyAlignment="1">
      <alignment vertical="center"/>
    </xf>
    <xf numFmtId="3" fontId="30" fillId="16" borderId="1" xfId="1" applyNumberFormat="1" applyFont="1" applyFill="1" applyBorder="1" applyAlignment="1">
      <alignment vertical="center"/>
    </xf>
    <xf numFmtId="43" fontId="2" fillId="16" borderId="1" xfId="2" applyFill="1" applyBorder="1" applyAlignment="1">
      <alignment vertical="center"/>
    </xf>
    <xf numFmtId="43" fontId="2" fillId="16" borderId="1" xfId="2" applyFill="1" applyBorder="1" applyAlignment="1">
      <alignment horizontal="center" vertical="center"/>
    </xf>
    <xf numFmtId="9" fontId="34" fillId="16" borderId="1" xfId="1" applyNumberFormat="1" applyFont="1" applyFill="1" applyBorder="1" applyAlignment="1">
      <alignment vertical="center"/>
    </xf>
    <xf numFmtId="3" fontId="34" fillId="0" borderId="0" xfId="1" applyNumberFormat="1" applyFont="1" applyFill="1" applyBorder="1" applyAlignment="1">
      <alignment horizontal="center"/>
    </xf>
    <xf numFmtId="3" fontId="34" fillId="0" borderId="0" xfId="1" applyNumberFormat="1" applyFont="1" applyFill="1" applyBorder="1" applyAlignment="1">
      <alignment horizontal="right"/>
    </xf>
    <xf numFmtId="43" fontId="2" fillId="0" borderId="0" xfId="2" applyFill="1" applyBorder="1" applyAlignment="1">
      <alignment horizontal="center"/>
    </xf>
    <xf numFmtId="9" fontId="34" fillId="0" borderId="0" xfId="3" applyFont="1" applyFill="1" applyBorder="1" applyAlignment="1"/>
    <xf numFmtId="0" fontId="21" fillId="0" borderId="0" xfId="1" applyFont="1" applyFill="1" applyAlignment="1">
      <alignment horizontal="right" vertical="center"/>
    </xf>
    <xf numFmtId="43" fontId="2" fillId="0" borderId="0" xfId="2" applyFill="1" applyAlignment="1">
      <alignment horizontal="center" vertical="center"/>
    </xf>
    <xf numFmtId="0" fontId="21" fillId="0" borderId="0" xfId="1" applyFont="1" applyFill="1" applyAlignment="1"/>
    <xf numFmtId="0" fontId="21" fillId="0" borderId="0" xfId="1" applyFont="1" applyFill="1" applyAlignment="1">
      <alignment horizontal="right"/>
    </xf>
    <xf numFmtId="43" fontId="2" fillId="0" borderId="0" xfId="2" applyFill="1" applyAlignment="1">
      <alignment horizontal="center"/>
    </xf>
    <xf numFmtId="0" fontId="31" fillId="0" borderId="0" xfId="1" applyFont="1" applyBorder="1" applyAlignment="1">
      <alignment vertical="top"/>
    </xf>
    <xf numFmtId="0" fontId="31" fillId="0" borderId="0" xfId="1" applyFont="1" applyBorder="1" applyAlignment="1">
      <alignment horizontal="right" vertical="top"/>
    </xf>
    <xf numFmtId="43" fontId="2" fillId="0" borderId="0" xfId="2" applyBorder="1" applyAlignment="1">
      <alignment vertical="top"/>
    </xf>
    <xf numFmtId="3" fontId="31" fillId="0" borderId="0" xfId="1" applyNumberFormat="1" applyFont="1" applyBorder="1" applyAlignment="1">
      <alignment vertical="top"/>
    </xf>
    <xf numFmtId="0" fontId="20" fillId="0" borderId="0" xfId="1" applyFont="1" applyAlignment="1"/>
    <xf numFmtId="0" fontId="20" fillId="0" borderId="0" xfId="1" applyFont="1" applyAlignment="1">
      <alignment horizontal="right"/>
    </xf>
    <xf numFmtId="43" fontId="2" fillId="0" borderId="0" xfId="2" applyAlignment="1">
      <alignment horizontal="center"/>
    </xf>
    <xf numFmtId="165" fontId="20" fillId="0" borderId="0" xfId="1" applyNumberFormat="1" applyFont="1" applyAlignment="1"/>
    <xf numFmtId="0" fontId="44" fillId="0" borderId="0" xfId="1" applyFont="1" applyAlignment="1">
      <alignment vertical="center"/>
    </xf>
    <xf numFmtId="0" fontId="2" fillId="0" borderId="0" xfId="1" applyFont="1" applyFill="1" applyAlignment="1"/>
    <xf numFmtId="0" fontId="44" fillId="3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17" borderId="0" xfId="1" applyFont="1" applyFill="1" applyAlignment="1">
      <alignment horizontal="center" vertical="center"/>
    </xf>
    <xf numFmtId="0" fontId="2" fillId="6" borderId="1" xfId="1" applyFont="1" applyFill="1" applyBorder="1" applyAlignment="1">
      <alignment horizontal="center"/>
    </xf>
    <xf numFmtId="0" fontId="44" fillId="6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/>
    <xf numFmtId="43" fontId="2" fillId="0" borderId="1" xfId="1" applyNumberFormat="1" applyFont="1" applyBorder="1" applyAlignment="1"/>
    <xf numFmtId="43" fontId="2" fillId="0" borderId="1" xfId="1" applyNumberFormat="1" applyFont="1" applyBorder="1" applyAlignment="1">
      <alignment horizontal="left"/>
    </xf>
    <xf numFmtId="43" fontId="44" fillId="4" borderId="1" xfId="1" applyNumberFormat="1" applyFont="1" applyFill="1" applyBorder="1" applyAlignment="1"/>
    <xf numFmtId="43" fontId="2" fillId="0" borderId="0" xfId="1" applyNumberFormat="1" applyFont="1" applyFill="1" applyAlignment="1"/>
    <xf numFmtId="0" fontId="2" fillId="17" borderId="0" xfId="1" applyFont="1" applyFill="1" applyAlignment="1"/>
    <xf numFmtId="0" fontId="44" fillId="0" borderId="1" xfId="1" applyFont="1" applyBorder="1" applyAlignment="1">
      <alignment horizontal="center" vertical="center"/>
    </xf>
    <xf numFmtId="0" fontId="2" fillId="17" borderId="1" xfId="1" applyFont="1" applyFill="1" applyBorder="1" applyAlignment="1"/>
    <xf numFmtId="0" fontId="45" fillId="17" borderId="1" xfId="1" applyFont="1" applyFill="1" applyBorder="1" applyAlignment="1"/>
    <xf numFmtId="43" fontId="2" fillId="17" borderId="1" xfId="2" applyFont="1" applyFill="1" applyBorder="1" applyAlignment="1"/>
    <xf numFmtId="43" fontId="2" fillId="0" borderId="1" xfId="2" applyFont="1" applyBorder="1" applyAlignment="1"/>
    <xf numFmtId="43" fontId="2" fillId="0" borderId="0" xfId="2" applyFont="1" applyFill="1" applyAlignment="1"/>
    <xf numFmtId="49" fontId="2" fillId="0" borderId="1" xfId="1" applyNumberFormat="1" applyFont="1" applyBorder="1" applyAlignment="1"/>
    <xf numFmtId="43" fontId="44" fillId="4" borderId="1" xfId="2" applyFont="1" applyFill="1" applyBorder="1" applyAlignment="1"/>
    <xf numFmtId="43" fontId="44" fillId="16" borderId="1" xfId="2" applyFont="1" applyFill="1" applyBorder="1" applyAlignment="1"/>
    <xf numFmtId="0" fontId="45" fillId="0" borderId="0" xfId="1" applyFont="1" applyFill="1" applyBorder="1" applyAlignment="1">
      <alignment horizontal="center"/>
    </xf>
    <xf numFmtId="43" fontId="44" fillId="0" borderId="0" xfId="2" applyFont="1" applyFill="1" applyBorder="1" applyAlignment="1"/>
    <xf numFmtId="0" fontId="45" fillId="0" borderId="0" xfId="1" applyFont="1" applyFill="1" applyBorder="1" applyAlignment="1"/>
    <xf numFmtId="0" fontId="20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/>
    </xf>
    <xf numFmtId="0" fontId="2" fillId="2" borderId="0" xfId="1" applyFont="1" applyFill="1" applyAlignment="1"/>
    <xf numFmtId="43" fontId="12" fillId="2" borderId="0" xfId="2" applyFont="1" applyFill="1" applyAlignment="1"/>
    <xf numFmtId="0" fontId="12" fillId="0" borderId="0" xfId="1" applyFont="1" applyAlignment="1"/>
    <xf numFmtId="0" fontId="14" fillId="2" borderId="0" xfId="1" applyFont="1" applyFill="1" applyBorder="1" applyAlignment="1">
      <alignment wrapText="1"/>
    </xf>
    <xf numFmtId="43" fontId="12" fillId="2" borderId="0" xfId="2" applyFont="1" applyFill="1" applyBorder="1" applyAlignment="1"/>
    <xf numFmtId="0" fontId="45" fillId="8" borderId="13" xfId="1" applyFont="1" applyFill="1" applyBorder="1" applyAlignment="1">
      <alignment horizontal="center"/>
    </xf>
    <xf numFmtId="43" fontId="45" fillId="8" borderId="14" xfId="2" applyFont="1" applyFill="1" applyBorder="1" applyAlignment="1">
      <alignment horizontal="center"/>
    </xf>
    <xf numFmtId="0" fontId="35" fillId="2" borderId="0" xfId="1" applyFont="1" applyFill="1" applyBorder="1" applyAlignment="1">
      <alignment horizontal="center"/>
    </xf>
    <xf numFmtId="43" fontId="45" fillId="8" borderId="15" xfId="2" applyFont="1" applyFill="1" applyBorder="1" applyAlignment="1">
      <alignment horizontal="center"/>
    </xf>
    <xf numFmtId="0" fontId="35" fillId="2" borderId="0" xfId="1" applyFont="1" applyFill="1" applyBorder="1" applyAlignment="1"/>
    <xf numFmtId="0" fontId="8" fillId="2" borderId="0" xfId="1" applyFont="1" applyFill="1" applyAlignment="1">
      <alignment horizontal="center"/>
    </xf>
    <xf numFmtId="43" fontId="45" fillId="2" borderId="0" xfId="2" applyFont="1" applyFill="1" applyBorder="1" applyAlignment="1">
      <alignment horizontal="center"/>
    </xf>
    <xf numFmtId="0" fontId="35" fillId="2" borderId="0" xfId="1" applyFont="1" applyFill="1" applyAlignment="1"/>
    <xf numFmtId="0" fontId="49" fillId="2" borderId="0" xfId="1" applyFont="1" applyFill="1" applyAlignment="1"/>
    <xf numFmtId="0" fontId="45" fillId="2" borderId="0" xfId="1" applyFont="1" applyFill="1" applyBorder="1" applyAlignment="1">
      <alignment horizontal="center"/>
    </xf>
    <xf numFmtId="4" fontId="35" fillId="2" borderId="1" xfId="1" applyNumberFormat="1" applyFont="1" applyFill="1" applyBorder="1" applyAlignment="1"/>
    <xf numFmtId="43" fontId="35" fillId="0" borderId="1" xfId="2" applyFont="1" applyBorder="1" applyAlignment="1"/>
    <xf numFmtId="9" fontId="35" fillId="2" borderId="1" xfId="3" applyFont="1" applyFill="1" applyBorder="1" applyAlignment="1">
      <alignment horizontal="center"/>
    </xf>
    <xf numFmtId="0" fontId="35" fillId="2" borderId="1" xfId="1" applyFont="1" applyFill="1" applyBorder="1" applyAlignment="1"/>
    <xf numFmtId="43" fontId="35" fillId="2" borderId="1" xfId="2" applyFont="1" applyFill="1" applyBorder="1" applyAlignment="1"/>
    <xf numFmtId="4" fontId="5" fillId="2" borderId="0" xfId="1" applyNumberFormat="1" applyFont="1" applyFill="1" applyBorder="1" applyAlignment="1"/>
    <xf numFmtId="4" fontId="45" fillId="16" borderId="16" xfId="1" applyNumberFormat="1" applyFont="1" applyFill="1" applyBorder="1" applyAlignment="1"/>
    <xf numFmtId="4" fontId="45" fillId="16" borderId="17" xfId="1" applyNumberFormat="1" applyFont="1" applyFill="1" applyBorder="1" applyAlignment="1"/>
    <xf numFmtId="9" fontId="45" fillId="16" borderId="18" xfId="3" applyFont="1" applyFill="1" applyBorder="1" applyAlignment="1">
      <alignment horizontal="center"/>
    </xf>
    <xf numFmtId="0" fontId="50" fillId="2" borderId="0" xfId="1" applyFont="1" applyFill="1" applyAlignment="1"/>
    <xf numFmtId="4" fontId="45" fillId="16" borderId="19" xfId="1" applyNumberFormat="1" applyFont="1" applyFill="1" applyBorder="1" applyAlignment="1"/>
    <xf numFmtId="9" fontId="45" fillId="16" borderId="17" xfId="3" applyFont="1" applyFill="1" applyBorder="1" applyAlignment="1">
      <alignment horizontal="center"/>
    </xf>
    <xf numFmtId="4" fontId="12" fillId="2" borderId="0" xfId="1" applyNumberFormat="1" applyFont="1" applyFill="1" applyBorder="1" applyAlignment="1"/>
    <xf numFmtId="0" fontId="5" fillId="0" borderId="0" xfId="1" applyFont="1" applyAlignment="1"/>
    <xf numFmtId="0" fontId="31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35" fillId="0" borderId="0" xfId="1" applyFont="1" applyFill="1" applyBorder="1" applyAlignment="1"/>
    <xf numFmtId="43" fontId="27" fillId="0" borderId="0" xfId="2" applyFont="1" applyFill="1" applyAlignment="1"/>
    <xf numFmtId="43" fontId="12" fillId="0" borderId="0" xfId="2" applyFont="1" applyAlignment="1"/>
    <xf numFmtId="0" fontId="44" fillId="0" borderId="0" xfId="1" applyFont="1" applyAlignment="1"/>
    <xf numFmtId="0" fontId="2" fillId="18" borderId="1" xfId="1" applyFont="1" applyFill="1" applyBorder="1" applyAlignment="1"/>
    <xf numFmtId="10" fontId="30" fillId="4" borderId="1" xfId="1" applyNumberFormat="1" applyFont="1" applyFill="1" applyBorder="1" applyAlignment="1">
      <alignment vertical="center"/>
    </xf>
    <xf numFmtId="41" fontId="2" fillId="0" borderId="1" xfId="2" applyNumberFormat="1" applyBorder="1" applyAlignment="1"/>
    <xf numFmtId="10" fontId="2" fillId="0" borderId="1" xfId="1" applyNumberFormat="1" applyFont="1" applyBorder="1" applyAlignment="1"/>
    <xf numFmtId="10" fontId="2" fillId="0" borderId="0" xfId="1" applyNumberFormat="1" applyFont="1" applyAlignment="1"/>
    <xf numFmtId="0" fontId="2" fillId="19" borderId="1" xfId="1" applyFont="1" applyFill="1" applyBorder="1" applyAlignment="1"/>
    <xf numFmtId="41" fontId="2" fillId="19" borderId="1" xfId="2" applyNumberFormat="1" applyFill="1" applyBorder="1" applyAlignment="1"/>
    <xf numFmtId="10" fontId="2" fillId="19" borderId="1" xfId="1" applyNumberFormat="1" applyFont="1" applyFill="1" applyBorder="1" applyAlignment="1"/>
    <xf numFmtId="0" fontId="33" fillId="0" borderId="0" xfId="1" applyFont="1" applyAlignment="1"/>
    <xf numFmtId="0" fontId="51" fillId="2" borderId="0" xfId="1" applyFont="1" applyFill="1" applyAlignment="1"/>
    <xf numFmtId="168" fontId="51" fillId="2" borderId="0" xfId="1" applyNumberFormat="1" applyFont="1" applyFill="1" applyAlignment="1"/>
    <xf numFmtId="0" fontId="52" fillId="2" borderId="0" xfId="1" applyFont="1" applyFill="1" applyAlignment="1"/>
    <xf numFmtId="43" fontId="33" fillId="0" borderId="0" xfId="2" applyFont="1" applyFill="1" applyAlignment="1"/>
    <xf numFmtId="0" fontId="53" fillId="2" borderId="0" xfId="6" applyFont="1" applyFill="1" applyBorder="1" applyAlignment="1"/>
    <xf numFmtId="0" fontId="26" fillId="2" borderId="0" xfId="1" applyFont="1" applyFill="1" applyAlignment="1"/>
    <xf numFmtId="0" fontId="54" fillId="2" borderId="0" xfId="6" applyFont="1" applyFill="1" applyBorder="1" applyAlignment="1">
      <alignment horizontal="center"/>
    </xf>
    <xf numFmtId="0" fontId="55" fillId="2" borderId="0" xfId="1" applyFont="1" applyFill="1" applyBorder="1" applyAlignment="1">
      <alignment horizontal="center"/>
    </xf>
    <xf numFmtId="0" fontId="53" fillId="12" borderId="1" xfId="1" applyFont="1" applyFill="1" applyBorder="1" applyAlignment="1">
      <alignment vertical="center"/>
    </xf>
    <xf numFmtId="0" fontId="56" fillId="12" borderId="1" xfId="6" applyFont="1" applyFill="1" applyBorder="1" applyAlignment="1">
      <alignment vertical="center"/>
    </xf>
    <xf numFmtId="0" fontId="56" fillId="12" borderId="1" xfId="1" applyFont="1" applyFill="1" applyBorder="1" applyAlignment="1">
      <alignment vertical="center"/>
    </xf>
    <xf numFmtId="43" fontId="57" fillId="0" borderId="0" xfId="2" applyFont="1" applyFill="1" applyAlignment="1">
      <alignment vertical="center"/>
    </xf>
    <xf numFmtId="43" fontId="33" fillId="0" borderId="0" xfId="1" applyNumberFormat="1" applyFont="1" applyAlignment="1"/>
    <xf numFmtId="0" fontId="58" fillId="12" borderId="1" xfId="1" applyFont="1" applyFill="1" applyBorder="1" applyAlignment="1">
      <alignment wrapText="1"/>
    </xf>
    <xf numFmtId="0" fontId="58" fillId="12" borderId="1" xfId="1" applyFont="1" applyFill="1" applyBorder="1" applyAlignment="1">
      <alignment vertical="center"/>
    </xf>
    <xf numFmtId="43" fontId="33" fillId="0" borderId="0" xfId="1" applyNumberFormat="1" applyFont="1" applyFill="1" applyAlignment="1"/>
    <xf numFmtId="43" fontId="33" fillId="0" borderId="0" xfId="2" applyFont="1" applyAlignment="1">
      <alignment vertical="center"/>
    </xf>
    <xf numFmtId="43" fontId="33" fillId="0" borderId="0" xfId="2" applyFont="1" applyAlignment="1">
      <alignment horizontal="center" vertical="center"/>
    </xf>
    <xf numFmtId="43" fontId="33" fillId="0" borderId="0" xfId="2" applyFont="1" applyAlignment="1"/>
    <xf numFmtId="0" fontId="53" fillId="12" borderId="1" xfId="1" applyFont="1" applyFill="1" applyBorder="1" applyAlignment="1"/>
    <xf numFmtId="0" fontId="53" fillId="12" borderId="1" xfId="1" applyFont="1" applyFill="1" applyBorder="1" applyAlignment="1">
      <alignment horizontal="left"/>
    </xf>
    <xf numFmtId="0" fontId="58" fillId="12" borderId="1" xfId="1" applyFont="1" applyFill="1" applyBorder="1" applyAlignment="1">
      <alignment horizontal="center" vertical="center"/>
    </xf>
    <xf numFmtId="168" fontId="58" fillId="12" borderId="1" xfId="1" applyNumberFormat="1" applyFont="1" applyFill="1" applyBorder="1" applyAlignment="1">
      <alignment horizontal="right" vertical="center"/>
    </xf>
    <xf numFmtId="168" fontId="33" fillId="0" borderId="0" xfId="1" applyNumberFormat="1" applyFont="1" applyFill="1" applyAlignment="1"/>
    <xf numFmtId="0" fontId="58" fillId="12" borderId="1" xfId="1" applyFont="1" applyFill="1" applyBorder="1" applyAlignment="1">
      <alignment horizontal="left"/>
    </xf>
    <xf numFmtId="168" fontId="58" fillId="12" borderId="1" xfId="1" applyNumberFormat="1" applyFont="1" applyFill="1" applyBorder="1" applyAlignment="1">
      <alignment horizontal="right"/>
    </xf>
    <xf numFmtId="168" fontId="33" fillId="0" borderId="0" xfId="1" applyNumberFormat="1" applyFont="1" applyAlignment="1"/>
    <xf numFmtId="0" fontId="26" fillId="12" borderId="1" xfId="1" applyFont="1" applyFill="1" applyBorder="1" applyAlignment="1"/>
    <xf numFmtId="0" fontId="26" fillId="12" borderId="1" xfId="1" applyFont="1" applyFill="1" applyBorder="1" applyAlignment="1">
      <alignment horizontal="left"/>
    </xf>
    <xf numFmtId="0" fontId="59" fillId="12" borderId="1" xfId="1" applyFont="1" applyFill="1" applyBorder="1" applyAlignment="1">
      <alignment horizontal="left"/>
    </xf>
    <xf numFmtId="168" fontId="59" fillId="12" borderId="1" xfId="1" applyNumberFormat="1" applyFont="1" applyFill="1" applyBorder="1" applyAlignment="1">
      <alignment horizontal="right"/>
    </xf>
    <xf numFmtId="49" fontId="60" fillId="12" borderId="1" xfId="6" applyNumberFormat="1" applyFont="1" applyFill="1" applyBorder="1" applyAlignment="1">
      <alignment horizontal="left"/>
    </xf>
    <xf numFmtId="49" fontId="59" fillId="12" borderId="1" xfId="6" applyNumberFormat="1" applyFont="1" applyFill="1" applyBorder="1" applyAlignment="1">
      <alignment horizontal="left"/>
    </xf>
    <xf numFmtId="168" fontId="59" fillId="12" borderId="1" xfId="6" applyNumberFormat="1" applyFont="1" applyFill="1" applyBorder="1" applyAlignment="1">
      <alignment horizontal="right"/>
    </xf>
    <xf numFmtId="0" fontId="58" fillId="12" borderId="1" xfId="1" applyFont="1" applyFill="1" applyBorder="1" applyAlignment="1"/>
    <xf numFmtId="168" fontId="58" fillId="12" borderId="1" xfId="1" applyNumberFormat="1" applyFont="1" applyFill="1" applyBorder="1" applyAlignment="1"/>
    <xf numFmtId="168" fontId="61" fillId="12" borderId="1" xfId="1" applyNumberFormat="1" applyFont="1" applyFill="1" applyBorder="1" applyAlignment="1">
      <alignment horizontal="right"/>
    </xf>
    <xf numFmtId="0" fontId="33" fillId="12" borderId="1" xfId="1" applyFont="1" applyFill="1" applyBorder="1" applyAlignment="1"/>
    <xf numFmtId="49" fontId="26" fillId="12" borderId="1" xfId="6" applyNumberFormat="1" applyFont="1" applyFill="1" applyBorder="1" applyAlignment="1">
      <alignment horizontal="left"/>
    </xf>
    <xf numFmtId="4" fontId="58" fillId="12" borderId="1" xfId="6" applyNumberFormat="1" applyFont="1" applyFill="1" applyBorder="1" applyAlignment="1">
      <alignment horizontal="right"/>
    </xf>
    <xf numFmtId="4" fontId="58" fillId="12" borderId="1" xfId="1" applyNumberFormat="1" applyFont="1" applyFill="1" applyBorder="1" applyAlignment="1">
      <alignment horizontal="right"/>
    </xf>
    <xf numFmtId="0" fontId="58" fillId="12" borderId="1" xfId="1" applyFont="1" applyFill="1" applyBorder="1" applyAlignment="1">
      <alignment horizontal="right"/>
    </xf>
    <xf numFmtId="4" fontId="58" fillId="12" borderId="1" xfId="1" applyNumberFormat="1" applyFont="1" applyFill="1" applyBorder="1" applyAlignment="1">
      <alignment horizontal="center"/>
    </xf>
    <xf numFmtId="49" fontId="53" fillId="12" borderId="1" xfId="6" applyNumberFormat="1" applyFont="1" applyFill="1" applyBorder="1" applyAlignment="1">
      <alignment horizontal="left"/>
    </xf>
    <xf numFmtId="49" fontId="58" fillId="12" borderId="1" xfId="6" applyNumberFormat="1" applyFont="1" applyFill="1" applyBorder="1" applyAlignment="1"/>
    <xf numFmtId="168" fontId="58" fillId="12" borderId="1" xfId="6" applyNumberFormat="1" applyFont="1" applyFill="1" applyBorder="1" applyAlignment="1">
      <alignment horizontal="right"/>
    </xf>
    <xf numFmtId="49" fontId="58" fillId="12" borderId="1" xfId="6" applyNumberFormat="1" applyFont="1" applyFill="1" applyBorder="1" applyAlignment="1">
      <alignment horizontal="left"/>
    </xf>
    <xf numFmtId="0" fontId="57" fillId="12" borderId="1" xfId="1" applyFont="1" applyFill="1" applyBorder="1" applyAlignment="1"/>
    <xf numFmtId="49" fontId="63" fillId="12" borderId="1" xfId="6" applyNumberFormat="1" applyFont="1" applyFill="1" applyBorder="1" applyAlignment="1">
      <alignment horizontal="left"/>
    </xf>
    <xf numFmtId="49" fontId="64" fillId="12" borderId="1" xfId="6" applyNumberFormat="1" applyFont="1" applyFill="1" applyBorder="1" applyAlignment="1">
      <alignment horizontal="left"/>
    </xf>
    <xf numFmtId="168" fontId="64" fillId="12" borderId="1" xfId="6" applyNumberFormat="1" applyFont="1" applyFill="1" applyBorder="1" applyAlignment="1">
      <alignment horizontal="right"/>
    </xf>
    <xf numFmtId="168" fontId="64" fillId="12" borderId="1" xfId="1" applyNumberFormat="1" applyFont="1" applyFill="1" applyBorder="1" applyAlignment="1">
      <alignment horizontal="right"/>
    </xf>
    <xf numFmtId="0" fontId="53" fillId="12" borderId="1" xfId="1" applyFont="1" applyFill="1" applyBorder="1" applyAlignment="1">
      <alignment vertical="center" wrapText="1"/>
    </xf>
    <xf numFmtId="49" fontId="53" fillId="12" borderId="1" xfId="6" applyNumberFormat="1" applyFont="1" applyFill="1" applyBorder="1" applyAlignment="1" applyProtection="1">
      <alignment horizontal="left"/>
      <protection locked="0"/>
    </xf>
    <xf numFmtId="49" fontId="58" fillId="12" borderId="1" xfId="6" applyNumberFormat="1" applyFont="1" applyFill="1" applyBorder="1" applyAlignment="1" applyProtection="1">
      <alignment horizontal="left"/>
      <protection locked="0"/>
    </xf>
    <xf numFmtId="168" fontId="58" fillId="12" borderId="1" xfId="6" applyNumberFormat="1" applyFont="1" applyFill="1" applyBorder="1" applyAlignment="1" applyProtection="1">
      <alignment horizontal="right"/>
      <protection locked="0"/>
    </xf>
    <xf numFmtId="49" fontId="59" fillId="12" borderId="1" xfId="1" applyNumberFormat="1" applyFont="1" applyFill="1" applyBorder="1" applyAlignment="1"/>
    <xf numFmtId="168" fontId="59" fillId="12" borderId="1" xfId="6" applyNumberFormat="1" applyFont="1" applyFill="1" applyBorder="1" applyAlignment="1" applyProtection="1">
      <alignment horizontal="right"/>
      <protection locked="0"/>
    </xf>
    <xf numFmtId="168" fontId="59" fillId="12" borderId="1" xfId="1" applyNumberFormat="1" applyFont="1" applyFill="1" applyBorder="1" applyAlignment="1" applyProtection="1">
      <alignment horizontal="right"/>
      <protection locked="0"/>
    </xf>
    <xf numFmtId="168" fontId="58" fillId="12" borderId="1" xfId="1" applyNumberFormat="1" applyFont="1" applyFill="1" applyBorder="1" applyAlignment="1" applyProtection="1">
      <alignment horizontal="right"/>
      <protection locked="0"/>
    </xf>
    <xf numFmtId="168" fontId="64" fillId="12" borderId="1" xfId="6" applyNumberFormat="1" applyFont="1" applyFill="1" applyBorder="1" applyAlignment="1" applyProtection="1">
      <alignment horizontal="right"/>
      <protection locked="0"/>
    </xf>
    <xf numFmtId="0" fontId="63" fillId="12" borderId="1" xfId="1" applyFont="1" applyFill="1" applyBorder="1" applyAlignment="1">
      <alignment horizontal="left"/>
    </xf>
    <xf numFmtId="0" fontId="57" fillId="0" borderId="0" xfId="1" applyFont="1" applyFill="1" applyAlignment="1"/>
    <xf numFmtId="0" fontId="33" fillId="12" borderId="1" xfId="1" applyFont="1" applyFill="1" applyBorder="1" applyAlignment="1">
      <alignment vertical="center"/>
    </xf>
    <xf numFmtId="0" fontId="26" fillId="12" borderId="1" xfId="1" applyFont="1" applyFill="1" applyBorder="1" applyAlignment="1">
      <alignment horizontal="left" vertical="center"/>
    </xf>
    <xf numFmtId="49" fontId="26" fillId="12" borderId="1" xfId="6" applyNumberFormat="1" applyFont="1" applyFill="1" applyBorder="1" applyAlignment="1">
      <alignment horizontal="left" vertical="center" wrapText="1"/>
    </xf>
    <xf numFmtId="168" fontId="59" fillId="12" borderId="1" xfId="6" applyNumberFormat="1" applyFont="1" applyFill="1" applyBorder="1" applyAlignment="1">
      <alignment horizontal="right" vertical="center"/>
    </xf>
    <xf numFmtId="168" fontId="59" fillId="12" borderId="1" xfId="6" applyNumberFormat="1" applyFont="1" applyFill="1" applyBorder="1" applyAlignment="1" applyProtection="1">
      <alignment horizontal="right" vertical="center"/>
      <protection locked="0"/>
    </xf>
    <xf numFmtId="168" fontId="59" fillId="12" borderId="1" xfId="1" applyNumberFormat="1" applyFont="1" applyFill="1" applyBorder="1" applyAlignment="1" applyProtection="1">
      <alignment horizontal="right" vertical="center"/>
      <protection locked="0"/>
    </xf>
    <xf numFmtId="0" fontId="33" fillId="0" borderId="0" xfId="1" applyFont="1" applyFill="1" applyAlignment="1">
      <alignment vertical="center"/>
    </xf>
    <xf numFmtId="49" fontId="26" fillId="12" borderId="1" xfId="6" applyNumberFormat="1" applyFont="1" applyFill="1" applyBorder="1" applyAlignment="1" applyProtection="1">
      <alignment horizontal="left" vertical="center"/>
      <protection locked="0"/>
    </xf>
    <xf numFmtId="0" fontId="59" fillId="12" borderId="1" xfId="1" applyFont="1" applyFill="1" applyBorder="1" applyAlignment="1">
      <alignment vertical="center" wrapText="1"/>
    </xf>
    <xf numFmtId="49" fontId="63" fillId="12" borderId="1" xfId="6" applyNumberFormat="1" applyFont="1" applyFill="1" applyBorder="1" applyAlignment="1" applyProtection="1">
      <alignment horizontal="left" vertical="center"/>
      <protection locked="0"/>
    </xf>
    <xf numFmtId="0" fontId="64" fillId="12" borderId="1" xfId="1" applyFont="1" applyFill="1" applyBorder="1" applyAlignment="1">
      <alignment vertical="center" wrapText="1"/>
    </xf>
    <xf numFmtId="168" fontId="64" fillId="12" borderId="1" xfId="6" applyNumberFormat="1" applyFont="1" applyFill="1" applyBorder="1" applyAlignment="1">
      <alignment horizontal="right" vertical="center"/>
    </xf>
    <xf numFmtId="0" fontId="63" fillId="12" borderId="1" xfId="1" applyFont="1" applyFill="1" applyBorder="1" applyAlignment="1">
      <alignment horizontal="left" vertical="center"/>
    </xf>
    <xf numFmtId="49" fontId="26" fillId="12" borderId="1" xfId="6" applyNumberFormat="1" applyFont="1" applyFill="1" applyBorder="1" applyAlignment="1" applyProtection="1">
      <alignment horizontal="left"/>
      <protection locked="0"/>
    </xf>
    <xf numFmtId="49" fontId="60" fillId="12" borderId="1" xfId="6" applyNumberFormat="1" applyFont="1" applyFill="1" applyBorder="1" applyAlignment="1">
      <alignment horizontal="right"/>
    </xf>
    <xf numFmtId="168" fontId="64" fillId="12" borderId="1" xfId="6" applyNumberFormat="1" applyFont="1" applyFill="1" applyBorder="1" applyAlignment="1" applyProtection="1">
      <alignment horizontal="right" vertical="center"/>
      <protection locked="0"/>
    </xf>
    <xf numFmtId="168" fontId="64" fillId="12" borderId="1" xfId="1" applyNumberFormat="1" applyFont="1" applyFill="1" applyBorder="1" applyAlignment="1" applyProtection="1">
      <alignment horizontal="right" vertical="center"/>
      <protection locked="0"/>
    </xf>
    <xf numFmtId="49" fontId="63" fillId="12" borderId="1" xfId="6" applyNumberFormat="1" applyFont="1" applyFill="1" applyBorder="1" applyAlignment="1" applyProtection="1">
      <alignment horizontal="left"/>
      <protection locked="0"/>
    </xf>
    <xf numFmtId="168" fontId="64" fillId="12" borderId="1" xfId="1" applyNumberFormat="1" applyFont="1" applyFill="1" applyBorder="1" applyAlignment="1" applyProtection="1">
      <alignment horizontal="right"/>
      <protection locked="0"/>
    </xf>
    <xf numFmtId="43" fontId="33" fillId="0" borderId="0" xfId="2" applyFont="1" applyFill="1" applyAlignment="1">
      <alignment vertical="center"/>
    </xf>
    <xf numFmtId="0" fontId="58" fillId="12" borderId="1" xfId="1" applyFont="1" applyFill="1" applyBorder="1" applyAlignment="1">
      <alignment vertical="center" wrapText="1"/>
    </xf>
    <xf numFmtId="49" fontId="60" fillId="12" borderId="1" xfId="6" applyNumberFormat="1" applyFont="1" applyFill="1" applyBorder="1" applyAlignment="1">
      <alignment horizontal="right" vertical="center"/>
    </xf>
    <xf numFmtId="49" fontId="53" fillId="12" borderId="1" xfId="6" applyNumberFormat="1" applyFont="1" applyFill="1" applyBorder="1" applyAlignment="1" applyProtection="1">
      <alignment horizontal="left" vertical="center"/>
      <protection locked="0"/>
    </xf>
    <xf numFmtId="168" fontId="58" fillId="12" borderId="1" xfId="6" applyNumberFormat="1" applyFont="1" applyFill="1" applyBorder="1" applyAlignment="1">
      <alignment horizontal="right" vertical="center"/>
    </xf>
    <xf numFmtId="0" fontId="33" fillId="0" borderId="0" xfId="1" applyFont="1" applyAlignment="1">
      <alignment vertical="center"/>
    </xf>
    <xf numFmtId="0" fontId="59" fillId="12" borderId="1" xfId="1" applyFont="1" applyFill="1" applyBorder="1" applyAlignment="1">
      <alignment horizontal="left" vertical="center"/>
    </xf>
    <xf numFmtId="43" fontId="58" fillId="12" borderId="1" xfId="2" applyFont="1" applyFill="1" applyBorder="1" applyAlignment="1">
      <alignment vertical="center" wrapText="1"/>
    </xf>
    <xf numFmtId="168" fontId="58" fillId="12" borderId="1" xfId="1" applyNumberFormat="1" applyFont="1" applyFill="1" applyBorder="1" applyAlignment="1">
      <alignment vertical="center" wrapText="1"/>
    </xf>
    <xf numFmtId="0" fontId="26" fillId="0" borderId="0" xfId="1" applyFont="1" applyFill="1" applyAlignment="1"/>
    <xf numFmtId="49" fontId="59" fillId="0" borderId="0" xfId="6" applyNumberFormat="1" applyFont="1" applyFill="1" applyBorder="1" applyAlignment="1">
      <alignment horizontal="left"/>
    </xf>
    <xf numFmtId="49" fontId="65" fillId="0" borderId="0" xfId="6" applyNumberFormat="1" applyFont="1" applyFill="1" applyBorder="1" applyAlignment="1">
      <alignment horizontal="center"/>
    </xf>
    <xf numFmtId="4" fontId="65" fillId="0" borderId="0" xfId="6" applyNumberFormat="1" applyFont="1" applyFill="1" applyBorder="1" applyAlignment="1">
      <alignment horizontal="center"/>
    </xf>
    <xf numFmtId="0" fontId="26" fillId="0" borderId="0" xfId="1" applyFont="1" applyAlignment="1"/>
    <xf numFmtId="4" fontId="66" fillId="0" borderId="0" xfId="6" applyNumberFormat="1" applyFont="1" applyFill="1" applyBorder="1" applyAlignment="1">
      <alignment horizontal="center"/>
    </xf>
    <xf numFmtId="43" fontId="31" fillId="0" borderId="0" xfId="2" applyFont="1" applyFill="1" applyAlignment="1">
      <alignment vertical="center"/>
    </xf>
    <xf numFmtId="0" fontId="67" fillId="0" borderId="0" xfId="1" applyFont="1" applyFill="1" applyBorder="1" applyAlignment="1"/>
    <xf numFmtId="0" fontId="31" fillId="0" borderId="0" xfId="1" applyFont="1" applyFill="1" applyAlignment="1"/>
    <xf numFmtId="43" fontId="31" fillId="0" borderId="0" xfId="2" applyFont="1" applyFill="1" applyAlignment="1"/>
    <xf numFmtId="3" fontId="21" fillId="0" borderId="0" xfId="1" applyNumberFormat="1" applyFont="1" applyFill="1" applyAlignment="1"/>
    <xf numFmtId="0" fontId="31" fillId="0" borderId="0" xfId="1" applyFont="1" applyFill="1" applyBorder="1" applyAlignment="1"/>
    <xf numFmtId="49" fontId="66" fillId="0" borderId="0" xfId="6" applyNumberFormat="1" applyFont="1" applyFill="1" applyBorder="1" applyAlignment="1">
      <alignment horizontal="center"/>
    </xf>
    <xf numFmtId="49" fontId="26" fillId="0" borderId="0" xfId="6" applyNumberFormat="1" applyFont="1" applyFill="1" applyBorder="1" applyAlignment="1">
      <alignment horizontal="center"/>
    </xf>
    <xf numFmtId="49" fontId="53" fillId="0" borderId="0" xfId="6" applyNumberFormat="1" applyFont="1" applyFill="1" applyBorder="1" applyAlignment="1">
      <alignment horizontal="center"/>
    </xf>
    <xf numFmtId="0" fontId="26" fillId="0" borderId="0" xfId="1" applyFont="1" applyFill="1" applyBorder="1" applyAlignment="1"/>
    <xf numFmtId="0" fontId="56" fillId="0" borderId="0" xfId="6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43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45" fillId="2" borderId="0" xfId="1" applyFont="1" applyFill="1" applyAlignment="1">
      <alignment horizontal="center" vertical="center"/>
    </xf>
    <xf numFmtId="43" fontId="4" fillId="0" borderId="0" xfId="2" applyFont="1" applyFill="1" applyAlignment="1">
      <alignment vertical="center"/>
    </xf>
    <xf numFmtId="43" fontId="4" fillId="2" borderId="0" xfId="1" applyNumberFormat="1" applyFont="1" applyFill="1" applyAlignment="1">
      <alignment vertical="center"/>
    </xf>
    <xf numFmtId="9" fontId="4" fillId="2" borderId="0" xfId="3" applyFont="1" applyFill="1" applyAlignment="1">
      <alignment vertical="center"/>
    </xf>
    <xf numFmtId="0" fontId="17" fillId="8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9" fontId="17" fillId="8" borderId="1" xfId="3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43" fontId="17" fillId="20" borderId="1" xfId="2" applyFont="1" applyFill="1" applyBorder="1" applyAlignment="1">
      <alignment vertical="center"/>
    </xf>
    <xf numFmtId="9" fontId="17" fillId="20" borderId="1" xfId="3" applyFont="1" applyFill="1" applyBorder="1" applyAlignment="1">
      <alignment vertical="center"/>
    </xf>
    <xf numFmtId="43" fontId="69" fillId="0" borderId="1" xfId="3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center" vertical="center"/>
    </xf>
    <xf numFmtId="43" fontId="4" fillId="0" borderId="0" xfId="1" applyNumberFormat="1" applyFont="1" applyAlignment="1">
      <alignment vertical="center"/>
    </xf>
    <xf numFmtId="0" fontId="70" fillId="21" borderId="1" xfId="2" applyNumberFormat="1" applyFont="1" applyFill="1" applyBorder="1" applyAlignment="1">
      <alignment horizontal="right" vertical="center"/>
    </xf>
    <xf numFmtId="169" fontId="70" fillId="21" borderId="1" xfId="2" applyNumberFormat="1" applyFont="1" applyFill="1" applyBorder="1" applyAlignment="1">
      <alignment horizontal="center" vertical="center"/>
    </xf>
    <xf numFmtId="43" fontId="4" fillId="21" borderId="1" xfId="2" applyFont="1" applyFill="1" applyBorder="1" applyAlignment="1">
      <alignment vertical="center"/>
    </xf>
    <xf numFmtId="0" fontId="4" fillId="21" borderId="1" xfId="1" applyFont="1" applyFill="1" applyBorder="1" applyAlignment="1">
      <alignment vertical="center"/>
    </xf>
    <xf numFmtId="43" fontId="4" fillId="21" borderId="1" xfId="1" applyNumberFormat="1" applyFont="1" applyFill="1" applyBorder="1" applyAlignment="1">
      <alignment vertical="center"/>
    </xf>
    <xf numFmtId="9" fontId="4" fillId="21" borderId="1" xfId="3" applyFont="1" applyFill="1" applyBorder="1" applyAlignment="1">
      <alignment vertical="center"/>
    </xf>
    <xf numFmtId="43" fontId="71" fillId="0" borderId="1" xfId="3" applyNumberFormat="1" applyFont="1" applyFill="1" applyBorder="1" applyAlignment="1">
      <alignment vertical="center"/>
    </xf>
    <xf numFmtId="9" fontId="4" fillId="0" borderId="1" xfId="3" applyFont="1" applyFill="1" applyBorder="1" applyAlignment="1">
      <alignment vertical="center"/>
    </xf>
    <xf numFmtId="0" fontId="4" fillId="5" borderId="0" xfId="1" applyFont="1" applyFill="1" applyAlignment="1">
      <alignment vertical="center"/>
    </xf>
    <xf numFmtId="0" fontId="70" fillId="0" borderId="1" xfId="1" applyFont="1" applyFill="1" applyBorder="1" applyAlignment="1">
      <alignment horizontal="right" vertical="center"/>
    </xf>
    <xf numFmtId="43" fontId="4" fillId="0" borderId="1" xfId="2" applyFont="1" applyFill="1" applyBorder="1" applyAlignment="1">
      <alignment vertical="center"/>
    </xf>
    <xf numFmtId="43" fontId="4" fillId="0" borderId="1" xfId="1" applyNumberFormat="1" applyFont="1" applyFill="1" applyBorder="1" applyAlignment="1">
      <alignment vertical="center"/>
    </xf>
    <xf numFmtId="4" fontId="4" fillId="0" borderId="0" xfId="1" applyNumberFormat="1" applyFont="1" applyFill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9" fontId="72" fillId="0" borderId="0" xfId="3" applyFont="1" applyFill="1" applyAlignment="1">
      <alignment horizontal="center" vertical="center"/>
    </xf>
    <xf numFmtId="9" fontId="4" fillId="0" borderId="0" xfId="3" applyFont="1" applyFill="1" applyAlignment="1">
      <alignment horizontal="center" vertical="center"/>
    </xf>
    <xf numFmtId="43" fontId="17" fillId="16" borderId="1" xfId="1" applyNumberFormat="1" applyFont="1" applyFill="1" applyBorder="1" applyAlignment="1">
      <alignment horizontal="center" vertical="center"/>
    </xf>
    <xf numFmtId="0" fontId="70" fillId="21" borderId="1" xfId="1" applyFont="1" applyFill="1" applyBorder="1" applyAlignment="1">
      <alignment horizontal="right" vertical="center"/>
    </xf>
    <xf numFmtId="43" fontId="19" fillId="0" borderId="1" xfId="1" applyNumberFormat="1" applyFont="1" applyFill="1" applyBorder="1" applyAlignment="1">
      <alignment vertical="center"/>
    </xf>
    <xf numFmtId="0" fontId="17" fillId="22" borderId="1" xfId="1" applyFont="1" applyFill="1" applyBorder="1" applyAlignment="1">
      <alignment vertical="center"/>
    </xf>
    <xf numFmtId="43" fontId="17" fillId="22" borderId="1" xfId="2" applyFont="1" applyFill="1" applyBorder="1" applyAlignment="1">
      <alignment vertical="center"/>
    </xf>
    <xf numFmtId="43" fontId="17" fillId="0" borderId="0" xfId="2" applyFont="1" applyFill="1" applyAlignment="1">
      <alignment vertical="center"/>
    </xf>
    <xf numFmtId="4" fontId="4" fillId="0" borderId="0" xfId="1" applyNumberFormat="1" applyFont="1" applyFill="1" applyAlignment="1">
      <alignment vertical="center"/>
    </xf>
    <xf numFmtId="9" fontId="4" fillId="0" borderId="0" xfId="3" applyFont="1" applyFill="1" applyAlignment="1">
      <alignment vertical="center"/>
    </xf>
    <xf numFmtId="43" fontId="4" fillId="8" borderId="1" xfId="2" applyFont="1" applyFill="1" applyBorder="1" applyAlignment="1">
      <alignment vertical="center"/>
    </xf>
    <xf numFmtId="0" fontId="4" fillId="8" borderId="1" xfId="1" applyFont="1" applyFill="1" applyBorder="1" applyAlignment="1">
      <alignment vertical="center"/>
    </xf>
    <xf numFmtId="43" fontId="17" fillId="8" borderId="1" xfId="2" applyFont="1" applyFill="1" applyBorder="1" applyAlignment="1">
      <alignment vertical="center"/>
    </xf>
    <xf numFmtId="0" fontId="4" fillId="0" borderId="20" xfId="1" applyFont="1" applyFill="1" applyBorder="1" applyAlignment="1">
      <alignment vertical="center"/>
    </xf>
    <xf numFmtId="9" fontId="4" fillId="0" borderId="0" xfId="3" applyFont="1" applyFill="1" applyBorder="1" applyAlignment="1">
      <alignment vertical="center"/>
    </xf>
    <xf numFmtId="43" fontId="4" fillId="0" borderId="20" xfId="1" applyNumberFormat="1" applyFont="1" applyFill="1" applyBorder="1" applyAlignment="1">
      <alignment vertical="center"/>
    </xf>
    <xf numFmtId="9" fontId="4" fillId="5" borderId="0" xfId="3" applyFont="1" applyFill="1" applyBorder="1" applyAlignment="1">
      <alignment vertical="center"/>
    </xf>
    <xf numFmtId="3" fontId="5" fillId="5" borderId="0" xfId="3" applyNumberFormat="1" applyFont="1" applyFill="1" applyBorder="1" applyAlignment="1">
      <alignment vertical="center"/>
    </xf>
    <xf numFmtId="9" fontId="4" fillId="2" borderId="0" xfId="3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73" fillId="2" borderId="0" xfId="1" applyFont="1" applyFill="1" applyBorder="1" applyAlignment="1">
      <alignment horizontal="center" vertical="center"/>
    </xf>
    <xf numFmtId="43" fontId="4" fillId="2" borderId="0" xfId="1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43" fontId="4" fillId="2" borderId="0" xfId="3" applyNumberFormat="1" applyFont="1" applyFill="1" applyBorder="1" applyAlignment="1">
      <alignment vertical="center"/>
    </xf>
    <xf numFmtId="10" fontId="2" fillId="0" borderId="0" xfId="3" applyNumberFormat="1" applyFill="1" applyAlignment="1">
      <alignment vertical="center"/>
    </xf>
    <xf numFmtId="0" fontId="17" fillId="2" borderId="21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4" fontId="4" fillId="2" borderId="4" xfId="2" applyNumberFormat="1" applyFont="1" applyFill="1" applyBorder="1" applyAlignment="1">
      <alignment vertical="center"/>
    </xf>
    <xf numFmtId="0" fontId="4" fillId="23" borderId="0" xfId="1" applyFont="1" applyFill="1" applyAlignment="1">
      <alignment vertical="center"/>
    </xf>
    <xf numFmtId="0" fontId="4" fillId="8" borderId="0" xfId="1" applyFont="1" applyFill="1" applyAlignment="1">
      <alignment vertical="center"/>
    </xf>
    <xf numFmtId="43" fontId="4" fillId="8" borderId="0" xfId="2" applyFont="1" applyFill="1" applyAlignment="1">
      <alignment vertical="center"/>
    </xf>
    <xf numFmtId="43" fontId="74" fillId="8" borderId="0" xfId="2" applyFont="1" applyFill="1" applyAlignment="1">
      <alignment vertical="center"/>
    </xf>
    <xf numFmtId="43" fontId="4" fillId="2" borderId="0" xfId="2" applyFont="1" applyFill="1" applyAlignment="1">
      <alignment vertical="center"/>
    </xf>
    <xf numFmtId="0" fontId="74" fillId="2" borderId="0" xfId="1" applyFont="1" applyFill="1" applyAlignment="1">
      <alignment vertical="center"/>
    </xf>
    <xf numFmtId="0" fontId="75" fillId="2" borderId="0" xfId="1" applyFont="1" applyFill="1" applyAlignment="1">
      <alignment vertical="center"/>
    </xf>
    <xf numFmtId="0" fontId="4" fillId="24" borderId="0" xfId="1" applyFont="1" applyFill="1" applyAlignment="1">
      <alignment vertical="center"/>
    </xf>
    <xf numFmtId="43" fontId="4" fillId="24" borderId="0" xfId="2" applyFont="1" applyFill="1" applyAlignment="1">
      <alignment vertical="center"/>
    </xf>
    <xf numFmtId="0" fontId="75" fillId="24" borderId="0" xfId="1" applyFont="1" applyFill="1" applyAlignment="1">
      <alignment vertical="center"/>
    </xf>
    <xf numFmtId="0" fontId="17" fillId="25" borderId="1" xfId="1" applyFont="1" applyFill="1" applyBorder="1" applyAlignment="1">
      <alignment vertical="center"/>
    </xf>
    <xf numFmtId="0" fontId="17" fillId="25" borderId="1" xfId="1" applyFont="1" applyFill="1" applyBorder="1" applyAlignment="1">
      <alignment vertical="center" wrapText="1"/>
    </xf>
    <xf numFmtId="0" fontId="4" fillId="25" borderId="1" xfId="1" applyFont="1" applyFill="1" applyBorder="1" applyAlignment="1">
      <alignment vertical="center" wrapText="1"/>
    </xf>
    <xf numFmtId="4" fontId="4" fillId="25" borderId="1" xfId="1" applyNumberFormat="1" applyFont="1" applyFill="1" applyBorder="1" applyAlignment="1">
      <alignment vertical="center" wrapText="1"/>
    </xf>
    <xf numFmtId="0" fontId="76" fillId="2" borderId="0" xfId="1" applyFont="1" applyFill="1" applyAlignment="1">
      <alignment vertical="center"/>
    </xf>
    <xf numFmtId="43" fontId="76" fillId="2" borderId="0" xfId="2" applyFont="1" applyFill="1" applyAlignment="1">
      <alignment vertical="center"/>
    </xf>
    <xf numFmtId="0" fontId="4" fillId="8" borderId="1" xfId="1" applyFont="1" applyFill="1" applyBorder="1" applyAlignment="1">
      <alignment vertical="center" wrapText="1"/>
    </xf>
    <xf numFmtId="4" fontId="17" fillId="8" borderId="1" xfId="1" applyNumberFormat="1" applyFont="1" applyFill="1" applyBorder="1" applyAlignment="1">
      <alignment vertical="center" wrapText="1"/>
    </xf>
    <xf numFmtId="4" fontId="4" fillId="0" borderId="22" xfId="1" applyNumberFormat="1" applyFont="1" applyFill="1" applyBorder="1" applyAlignment="1">
      <alignment vertical="center" wrapText="1"/>
    </xf>
    <xf numFmtId="164" fontId="72" fillId="2" borderId="0" xfId="2" applyNumberFormat="1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4" fontId="4" fillId="2" borderId="0" xfId="1" applyNumberFormat="1" applyFont="1" applyFill="1" applyAlignment="1">
      <alignment vertical="center"/>
    </xf>
    <xf numFmtId="0" fontId="17" fillId="8" borderId="1" xfId="1" applyFont="1" applyFill="1" applyBorder="1" applyAlignment="1">
      <alignment vertical="center"/>
    </xf>
    <xf numFmtId="43" fontId="17" fillId="0" borderId="1" xfId="2" applyFont="1" applyFill="1" applyBorder="1" applyAlignment="1">
      <alignment vertical="center"/>
    </xf>
    <xf numFmtId="164" fontId="17" fillId="0" borderId="1" xfId="2" applyNumberFormat="1" applyFont="1" applyFill="1" applyBorder="1" applyAlignment="1">
      <alignment vertical="center"/>
    </xf>
    <xf numFmtId="11" fontId="4" fillId="2" borderId="0" xfId="1" applyNumberFormat="1" applyFont="1" applyFill="1" applyAlignment="1">
      <alignment vertical="center"/>
    </xf>
    <xf numFmtId="9" fontId="4" fillId="0" borderId="0" xfId="3" applyFont="1" applyAlignment="1">
      <alignment vertical="center"/>
    </xf>
    <xf numFmtId="0" fontId="44" fillId="0" borderId="0" xfId="1" applyFont="1" applyFill="1" applyBorder="1" applyAlignment="1">
      <alignment horizontal="center" vertical="center"/>
    </xf>
    <xf numFmtId="43" fontId="0" fillId="0" borderId="0" xfId="2" applyFont="1" applyAlignment="1"/>
    <xf numFmtId="0" fontId="44" fillId="8" borderId="1" xfId="1" applyFont="1" applyFill="1" applyBorder="1" applyAlignment="1"/>
    <xf numFmtId="0" fontId="44" fillId="8" borderId="1" xfId="1" applyFont="1" applyFill="1" applyBorder="1" applyAlignment="1">
      <alignment horizontal="center"/>
    </xf>
    <xf numFmtId="4" fontId="2" fillId="0" borderId="1" xfId="1" applyNumberFormat="1" applyFont="1" applyBorder="1" applyAlignment="1">
      <alignment horizontal="left"/>
    </xf>
    <xf numFmtId="4" fontId="2" fillId="0" borderId="1" xfId="1" applyNumberFormat="1" applyFont="1" applyBorder="1" applyAlignment="1"/>
    <xf numFmtId="8" fontId="2" fillId="0" borderId="0" xfId="2" applyNumberFormat="1" applyAlignment="1"/>
    <xf numFmtId="0" fontId="2" fillId="0" borderId="11" xfId="1" applyFont="1" applyBorder="1" applyAlignment="1">
      <alignment horizontal="center"/>
    </xf>
    <xf numFmtId="4" fontId="2" fillId="0" borderId="11" xfId="1" applyNumberFormat="1" applyFont="1" applyBorder="1" applyAlignment="1"/>
    <xf numFmtId="0" fontId="2" fillId="0" borderId="0" xfId="1" applyFont="1" applyBorder="1" applyAlignment="1"/>
    <xf numFmtId="4" fontId="44" fillId="16" borderId="1" xfId="1" applyNumberFormat="1" applyFont="1" applyFill="1" applyBorder="1" applyAlignment="1"/>
    <xf numFmtId="4" fontId="44" fillId="16" borderId="4" xfId="1" applyNumberFormat="1" applyFont="1" applyFill="1" applyBorder="1" applyAlignment="1"/>
    <xf numFmtId="4" fontId="44" fillId="16" borderId="22" xfId="1" applyNumberFormat="1" applyFont="1" applyFill="1" applyBorder="1" applyAlignment="1"/>
    <xf numFmtId="4" fontId="44" fillId="8" borderId="1" xfId="1" applyNumberFormat="1" applyFont="1" applyFill="1" applyBorder="1" applyAlignment="1"/>
    <xf numFmtId="4" fontId="44" fillId="4" borderId="1" xfId="1" applyNumberFormat="1" applyFont="1" applyFill="1" applyBorder="1" applyAlignment="1"/>
    <xf numFmtId="0" fontId="21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43" fontId="1" fillId="26" borderId="23" xfId="2" applyFont="1" applyFill="1" applyBorder="1" applyAlignment="1">
      <alignment vertical="top" wrapText="1"/>
    </xf>
    <xf numFmtId="43" fontId="2" fillId="26" borderId="23" xfId="2" applyFill="1" applyBorder="1" applyAlignment="1">
      <alignment vertical="top" wrapText="1"/>
    </xf>
    <xf numFmtId="43" fontId="0" fillId="26" borderId="0" xfId="2" applyFont="1" applyFill="1" applyBorder="1" applyAlignment="1">
      <alignment vertical="top" wrapText="1"/>
    </xf>
    <xf numFmtId="43" fontId="2" fillId="26" borderId="0" xfId="2" applyFill="1" applyBorder="1" applyAlignment="1">
      <alignment vertical="top" wrapText="1"/>
    </xf>
    <xf numFmtId="43" fontId="0" fillId="11" borderId="0" xfId="2" applyFont="1" applyFill="1" applyBorder="1" applyAlignment="1">
      <alignment vertical="top" wrapText="1"/>
    </xf>
    <xf numFmtId="43" fontId="1" fillId="11" borderId="23" xfId="2" applyFont="1" applyFill="1" applyBorder="1" applyAlignment="1">
      <alignment vertical="top" wrapText="1"/>
    </xf>
    <xf numFmtId="43" fontId="2" fillId="11" borderId="23" xfId="2" applyFill="1" applyBorder="1" applyAlignment="1">
      <alignment vertical="top" wrapText="1"/>
    </xf>
    <xf numFmtId="0" fontId="2" fillId="11" borderId="0" xfId="1" applyFont="1" applyFill="1" applyAlignment="1"/>
    <xf numFmtId="43" fontId="2" fillId="0" borderId="23" xfId="2" applyBorder="1" applyAlignment="1">
      <alignment vertical="top" wrapText="1"/>
    </xf>
    <xf numFmtId="43" fontId="0" fillId="0" borderId="0" xfId="2" applyFont="1" applyBorder="1" applyAlignment="1">
      <alignment vertical="top" wrapText="1"/>
    </xf>
    <xf numFmtId="0" fontId="79" fillId="26" borderId="23" xfId="1" applyFont="1" applyFill="1" applyBorder="1" applyAlignment="1">
      <alignment vertical="top" wrapText="1"/>
    </xf>
    <xf numFmtId="0" fontId="2" fillId="26" borderId="0" xfId="1" applyFont="1" applyFill="1" applyAlignment="1"/>
    <xf numFmtId="168" fontId="59" fillId="11" borderId="1" xfId="1" applyNumberFormat="1" applyFont="1" applyFill="1" applyBorder="1" applyAlignment="1">
      <alignment horizontal="right"/>
    </xf>
    <xf numFmtId="168" fontId="59" fillId="11" borderId="1" xfId="6" applyNumberFormat="1" applyFont="1" applyFill="1" applyBorder="1" applyAlignment="1">
      <alignment horizontal="right"/>
    </xf>
    <xf numFmtId="4" fontId="59" fillId="11" borderId="1" xfId="6" applyNumberFormat="1" applyFont="1" applyFill="1" applyBorder="1" applyAlignment="1">
      <alignment horizontal="right"/>
    </xf>
    <xf numFmtId="168" fontId="64" fillId="11" borderId="1" xfId="6" applyNumberFormat="1" applyFont="1" applyFill="1" applyBorder="1" applyAlignment="1">
      <alignment horizontal="right"/>
    </xf>
    <xf numFmtId="168" fontId="59" fillId="11" borderId="1" xfId="6" applyNumberFormat="1" applyFont="1" applyFill="1" applyBorder="1" applyAlignment="1">
      <alignment horizontal="right" vertical="center"/>
    </xf>
    <xf numFmtId="168" fontId="64" fillId="11" borderId="1" xfId="6" applyNumberFormat="1" applyFont="1" applyFill="1" applyBorder="1" applyAlignment="1">
      <alignment horizontal="right" vertical="center"/>
    </xf>
    <xf numFmtId="168" fontId="59" fillId="11" borderId="1" xfId="1" applyNumberFormat="1" applyFont="1" applyFill="1" applyBorder="1" applyAlignment="1" applyProtection="1">
      <alignment horizontal="right"/>
      <protection locked="0"/>
    </xf>
    <xf numFmtId="0" fontId="26" fillId="11" borderId="1" xfId="1" applyFont="1" applyFill="1" applyBorder="1" applyAlignment="1">
      <alignment horizontal="left"/>
    </xf>
    <xf numFmtId="0" fontId="59" fillId="11" borderId="1" xfId="1" applyFont="1" applyFill="1" applyBorder="1" applyAlignment="1">
      <alignment horizontal="left"/>
    </xf>
    <xf numFmtId="49" fontId="59" fillId="11" borderId="1" xfId="6" applyNumberFormat="1" applyFont="1" applyFill="1" applyBorder="1" applyAlignment="1">
      <alignment horizontal="left"/>
    </xf>
    <xf numFmtId="49" fontId="26" fillId="11" borderId="1" xfId="6" applyNumberFormat="1" applyFont="1" applyFill="1" applyBorder="1" applyAlignment="1">
      <alignment horizontal="left"/>
    </xf>
    <xf numFmtId="49" fontId="63" fillId="11" borderId="1" xfId="6" applyNumberFormat="1" applyFont="1" applyFill="1" applyBorder="1" applyAlignment="1">
      <alignment horizontal="left"/>
    </xf>
    <xf numFmtId="49" fontId="64" fillId="11" borderId="1" xfId="6" applyNumberFormat="1" applyFont="1" applyFill="1" applyBorder="1" applyAlignment="1">
      <alignment horizontal="left"/>
    </xf>
    <xf numFmtId="49" fontId="59" fillId="11" borderId="1" xfId="1" applyNumberFormat="1" applyFont="1" applyFill="1" applyBorder="1" applyAlignment="1"/>
    <xf numFmtId="0" fontId="63" fillId="11" borderId="1" xfId="1" applyFont="1" applyFill="1" applyBorder="1" applyAlignment="1">
      <alignment horizontal="left"/>
    </xf>
    <xf numFmtId="0" fontId="26" fillId="11" borderId="1" xfId="1" applyFont="1" applyFill="1" applyBorder="1" applyAlignment="1">
      <alignment horizontal="left" vertical="center"/>
    </xf>
    <xf numFmtId="49" fontId="26" fillId="11" borderId="1" xfId="6" applyNumberFormat="1" applyFont="1" applyFill="1" applyBorder="1" applyAlignment="1">
      <alignment horizontal="left" vertical="center" wrapText="1"/>
    </xf>
    <xf numFmtId="49" fontId="26" fillId="11" borderId="1" xfId="6" applyNumberFormat="1" applyFont="1" applyFill="1" applyBorder="1" applyAlignment="1" applyProtection="1">
      <alignment horizontal="left" vertical="center"/>
      <protection locked="0"/>
    </xf>
    <xf numFmtId="0" fontId="59" fillId="11" borderId="1" xfId="1" applyFont="1" applyFill="1" applyBorder="1" applyAlignment="1">
      <alignment vertical="center" wrapText="1"/>
    </xf>
    <xf numFmtId="49" fontId="63" fillId="11" borderId="1" xfId="6" applyNumberFormat="1" applyFont="1" applyFill="1" applyBorder="1" applyAlignment="1" applyProtection="1">
      <alignment horizontal="left" vertical="center"/>
      <protection locked="0"/>
    </xf>
    <xf numFmtId="0" fontId="64" fillId="11" borderId="1" xfId="1" applyFont="1" applyFill="1" applyBorder="1" applyAlignment="1">
      <alignment vertical="center" wrapText="1"/>
    </xf>
    <xf numFmtId="0" fontId="63" fillId="11" borderId="1" xfId="1" applyFont="1" applyFill="1" applyBorder="1" applyAlignment="1">
      <alignment horizontal="left" vertical="center"/>
    </xf>
    <xf numFmtId="49" fontId="26" fillId="11" borderId="1" xfId="6" applyNumberFormat="1" applyFont="1" applyFill="1" applyBorder="1" applyAlignment="1" applyProtection="1">
      <alignment horizontal="left"/>
      <protection locked="0"/>
    </xf>
    <xf numFmtId="49" fontId="63" fillId="11" borderId="1" xfId="6" applyNumberFormat="1" applyFont="1" applyFill="1" applyBorder="1" applyAlignment="1" applyProtection="1">
      <alignment horizontal="left"/>
      <protection locked="0"/>
    </xf>
    <xf numFmtId="0" fontId="59" fillId="11" borderId="1" xfId="1" applyFont="1" applyFill="1" applyBorder="1" applyAlignment="1">
      <alignment horizontal="left" vertical="center"/>
    </xf>
    <xf numFmtId="0" fontId="0" fillId="0" borderId="0" xfId="0"/>
    <xf numFmtId="3" fontId="31" fillId="11" borderId="1" xfId="5" applyNumberFormat="1" applyFont="1" applyFill="1" applyBorder="1" applyAlignment="1">
      <alignment horizontal="right" vertical="center"/>
    </xf>
    <xf numFmtId="3" fontId="31" fillId="11" borderId="1" xfId="5" applyNumberFormat="1" applyFont="1" applyFill="1" applyBorder="1" applyAlignment="1">
      <alignment horizontal="right"/>
    </xf>
    <xf numFmtId="3" fontId="31" fillId="11" borderId="1" xfId="4" applyNumberFormat="1" applyFont="1" applyFill="1" applyBorder="1" applyAlignment="1"/>
    <xf numFmtId="170" fontId="0" fillId="0" borderId="0" xfId="0" applyNumberFormat="1"/>
    <xf numFmtId="3" fontId="27" fillId="0" borderId="0" xfId="4" applyNumberFormat="1" applyFont="1" applyFill="1" applyBorder="1" applyAlignment="1"/>
    <xf numFmtId="0" fontId="0" fillId="0" borderId="0" xfId="0" applyNumberFormat="1"/>
    <xf numFmtId="43" fontId="2" fillId="2" borderId="1" xfId="2" quotePrefix="1" applyFill="1" applyBorder="1" applyAlignment="1"/>
    <xf numFmtId="43" fontId="35" fillId="2" borderId="1" xfId="2" quotePrefix="1" applyFont="1" applyFill="1" applyBorder="1" applyAlignment="1"/>
    <xf numFmtId="0" fontId="0" fillId="0" borderId="0" xfId="0" pivotButton="1"/>
    <xf numFmtId="0" fontId="21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1" fillId="0" borderId="0" xfId="1" applyFont="1" applyFill="1" applyBorder="1" applyAlignment="1">
      <alignment horizontal="center"/>
    </xf>
    <xf numFmtId="0" fontId="21" fillId="0" borderId="0" xfId="1" applyFont="1" applyBorder="1" applyAlignment="1">
      <alignment horizontal="center" vertical="top"/>
    </xf>
    <xf numFmtId="4" fontId="2" fillId="27" borderId="11" xfId="1" applyNumberFormat="1" applyFont="1" applyFill="1" applyBorder="1" applyAlignment="1">
      <alignment horizontal="center" vertical="center"/>
    </xf>
    <xf numFmtId="4" fontId="2" fillId="27" borderId="30" xfId="1" applyNumberFormat="1" applyFont="1" applyFill="1" applyBorder="1" applyAlignment="1">
      <alignment horizontal="center" vertical="center"/>
    </xf>
    <xf numFmtId="4" fontId="2" fillId="27" borderId="12" xfId="1" applyNumberFormat="1" applyFont="1" applyFill="1" applyBorder="1" applyAlignment="1">
      <alignment horizontal="center" vertical="center"/>
    </xf>
    <xf numFmtId="0" fontId="44" fillId="16" borderId="21" xfId="1" applyFont="1" applyFill="1" applyBorder="1" applyAlignment="1">
      <alignment horizontal="center"/>
    </xf>
    <xf numFmtId="0" fontId="44" fillId="16" borderId="22" xfId="1" applyFont="1" applyFill="1" applyBorder="1" applyAlignment="1">
      <alignment horizontal="center"/>
    </xf>
    <xf numFmtId="0" fontId="44" fillId="8" borderId="1" xfId="1" applyFont="1" applyFill="1" applyBorder="1" applyAlignment="1">
      <alignment horizontal="left"/>
    </xf>
    <xf numFmtId="0" fontId="44" fillId="4" borderId="1" xfId="1" applyFont="1" applyFill="1" applyBorder="1" applyAlignment="1">
      <alignment horizontal="left"/>
    </xf>
    <xf numFmtId="0" fontId="77" fillId="2" borderId="0" xfId="1" applyFont="1" applyFill="1" applyAlignment="1">
      <alignment horizontal="center"/>
    </xf>
    <xf numFmtId="0" fontId="78" fillId="2" borderId="0" xfId="1" applyFont="1" applyFill="1" applyAlignment="1">
      <alignment horizontal="center"/>
    </xf>
    <xf numFmtId="0" fontId="44" fillId="7" borderId="24" xfId="1" applyFont="1" applyFill="1" applyBorder="1" applyAlignment="1">
      <alignment horizontal="center" vertical="center"/>
    </xf>
    <xf numFmtId="0" fontId="44" fillId="7" borderId="25" xfId="1" applyFont="1" applyFill="1" applyBorder="1" applyAlignment="1">
      <alignment horizontal="center" vertical="center"/>
    </xf>
    <xf numFmtId="0" fontId="44" fillId="7" borderId="26" xfId="1" applyFont="1" applyFill="1" applyBorder="1" applyAlignment="1">
      <alignment horizontal="center" vertical="center"/>
    </xf>
    <xf numFmtId="0" fontId="44" fillId="7" borderId="27" xfId="1" applyFont="1" applyFill="1" applyBorder="1" applyAlignment="1">
      <alignment horizontal="center" vertical="center"/>
    </xf>
    <xf numFmtId="0" fontId="44" fillId="7" borderId="28" xfId="1" applyFont="1" applyFill="1" applyBorder="1" applyAlignment="1">
      <alignment horizontal="center" vertical="center"/>
    </xf>
    <xf numFmtId="0" fontId="44" fillId="7" borderId="29" xfId="1" applyFont="1" applyFill="1" applyBorder="1" applyAlignment="1">
      <alignment horizontal="center" vertical="center"/>
    </xf>
    <xf numFmtId="0" fontId="20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20" fillId="0" borderId="0" xfId="1" applyFont="1" applyBorder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8" fillId="2" borderId="0" xfId="1" applyFont="1" applyFill="1" applyAlignment="1">
      <alignment horizontal="left" wrapText="1"/>
    </xf>
    <xf numFmtId="0" fontId="21" fillId="0" borderId="0" xfId="1" applyFont="1" applyFill="1" applyAlignment="1">
      <alignment horizontal="left" vertical="center"/>
    </xf>
    <xf numFmtId="0" fontId="25" fillId="0" borderId="0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left" vertical="center" wrapText="1"/>
    </xf>
    <xf numFmtId="0" fontId="30" fillId="0" borderId="0" xfId="1" applyFont="1" applyFill="1" applyAlignment="1">
      <alignment horizontal="left" vertical="center" wrapText="1"/>
    </xf>
    <xf numFmtId="0" fontId="30" fillId="7" borderId="1" xfId="4" applyFont="1" applyFill="1" applyBorder="1" applyAlignment="1">
      <alignment horizontal="center" vertical="center"/>
    </xf>
    <xf numFmtId="167" fontId="30" fillId="7" borderId="1" xfId="5" applyFont="1" applyFill="1" applyBorder="1" applyAlignment="1">
      <alignment horizontal="center" vertical="center"/>
    </xf>
    <xf numFmtId="167" fontId="30" fillId="7" borderId="11" xfId="5" applyFont="1" applyFill="1" applyBorder="1" applyAlignment="1">
      <alignment horizontal="center" vertical="center" wrapText="1"/>
    </xf>
    <xf numFmtId="167" fontId="30" fillId="7" borderId="12" xfId="5" applyFont="1" applyFill="1" applyBorder="1" applyAlignment="1">
      <alignment horizontal="center" vertical="center" wrapText="1"/>
    </xf>
    <xf numFmtId="167" fontId="30" fillId="7" borderId="1" xfId="5" applyFont="1" applyFill="1" applyBorder="1" applyAlignment="1">
      <alignment horizontal="center" vertical="center" wrapText="1"/>
    </xf>
    <xf numFmtId="0" fontId="32" fillId="7" borderId="1" xfId="4" applyFont="1" applyFill="1" applyBorder="1" applyAlignment="1">
      <alignment horizontal="center" vertical="center" wrapText="1"/>
    </xf>
    <xf numFmtId="0" fontId="46" fillId="0" borderId="0" xfId="1" applyFont="1" applyAlignment="1">
      <alignment horizontal="left" vertical="center"/>
    </xf>
    <xf numFmtId="0" fontId="47" fillId="0" borderId="0" xfId="1" applyFont="1" applyAlignment="1">
      <alignment horizontal="left" vertical="center"/>
    </xf>
    <xf numFmtId="0" fontId="48" fillId="2" borderId="0" xfId="1" applyFont="1" applyFill="1" applyBorder="1" applyAlignment="1">
      <alignment horizontal="left" vertical="center" wrapText="1"/>
    </xf>
    <xf numFmtId="0" fontId="5" fillId="0" borderId="3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32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45" fillId="4" borderId="21" xfId="1" applyFont="1" applyFill="1" applyBorder="1" applyAlignment="1">
      <alignment horizontal="center"/>
    </xf>
    <xf numFmtId="0" fontId="45" fillId="4" borderId="22" xfId="1" applyFont="1" applyFill="1" applyBorder="1" applyAlignment="1">
      <alignment horizontal="center"/>
    </xf>
    <xf numFmtId="0" fontId="45" fillId="3" borderId="21" xfId="1" applyFont="1" applyFill="1" applyBorder="1" applyAlignment="1">
      <alignment horizontal="center" vertical="center"/>
    </xf>
    <xf numFmtId="0" fontId="45" fillId="3" borderId="4" xfId="1" applyFont="1" applyFill="1" applyBorder="1" applyAlignment="1">
      <alignment horizontal="center" vertical="center"/>
    </xf>
    <xf numFmtId="0" fontId="45" fillId="3" borderId="22" xfId="1" applyFont="1" applyFill="1" applyBorder="1" applyAlignment="1">
      <alignment horizontal="center" vertical="center"/>
    </xf>
    <xf numFmtId="0" fontId="45" fillId="16" borderId="21" xfId="1" applyFont="1" applyFill="1" applyBorder="1" applyAlignment="1">
      <alignment horizontal="center"/>
    </xf>
    <xf numFmtId="0" fontId="45" fillId="16" borderId="22" xfId="1" applyFont="1" applyFill="1" applyBorder="1" applyAlignment="1">
      <alignment horizontal="center"/>
    </xf>
    <xf numFmtId="0" fontId="44" fillId="3" borderId="21" xfId="1" applyFont="1" applyFill="1" applyBorder="1" applyAlignment="1">
      <alignment horizontal="center" vertical="center"/>
    </xf>
    <xf numFmtId="0" fontId="44" fillId="3" borderId="4" xfId="1" applyFont="1" applyFill="1" applyBorder="1" applyAlignment="1">
      <alignment horizontal="center" vertical="center"/>
    </xf>
    <xf numFmtId="0" fontId="44" fillId="3" borderId="22" xfId="1" applyFont="1" applyFill="1" applyBorder="1" applyAlignment="1">
      <alignment horizontal="center" vertical="center"/>
    </xf>
    <xf numFmtId="0" fontId="44" fillId="0" borderId="0" xfId="1" applyFont="1" applyAlignment="1">
      <alignment horizontal="left" vertical="center"/>
    </xf>
    <xf numFmtId="0" fontId="44" fillId="0" borderId="0" xfId="1" applyFont="1" applyAlignment="1">
      <alignment horizontal="left" vertical="center" wrapText="1"/>
    </xf>
    <xf numFmtId="0" fontId="2" fillId="0" borderId="0" xfId="1" applyFont="1" applyFill="1" applyAlignment="1">
      <alignment horizontal="center" wrapText="1"/>
    </xf>
    <xf numFmtId="0" fontId="17" fillId="2" borderId="0" xfId="1" applyFont="1" applyFill="1" applyAlignment="1">
      <alignment horizontal="center" vertical="center"/>
    </xf>
    <xf numFmtId="0" fontId="17" fillId="8" borderId="1" xfId="1" applyFont="1" applyFill="1" applyBorder="1" applyAlignment="1">
      <alignment horizontal="center" vertical="center"/>
    </xf>
    <xf numFmtId="43" fontId="17" fillId="0" borderId="21" xfId="2" applyFont="1" applyFill="1" applyBorder="1" applyAlignment="1">
      <alignment horizontal="center" vertical="center"/>
    </xf>
    <xf numFmtId="43" fontId="17" fillId="0" borderId="22" xfId="2" applyFont="1" applyFill="1" applyBorder="1" applyAlignment="1">
      <alignment horizontal="center" vertical="center"/>
    </xf>
    <xf numFmtId="43" fontId="17" fillId="0" borderId="1" xfId="2" applyFont="1" applyFill="1" applyBorder="1" applyAlignment="1">
      <alignment horizontal="center" vertical="center"/>
    </xf>
    <xf numFmtId="4" fontId="4" fillId="25" borderId="21" xfId="1" applyNumberFormat="1" applyFont="1" applyFill="1" applyBorder="1" applyAlignment="1">
      <alignment horizontal="center" vertical="center" wrapText="1"/>
    </xf>
    <xf numFmtId="4" fontId="4" fillId="25" borderId="22" xfId="1" applyNumberFormat="1" applyFont="1" applyFill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2" borderId="22" xfId="2" applyNumberFormat="1" applyFont="1" applyFill="1" applyBorder="1" applyAlignment="1">
      <alignment horizontal="center" vertical="center"/>
    </xf>
    <xf numFmtId="164" fontId="4" fillId="2" borderId="0" xfId="2" applyNumberFormat="1" applyFont="1" applyFill="1" applyBorder="1" applyAlignment="1">
      <alignment horizontal="center" vertical="center"/>
    </xf>
    <xf numFmtId="0" fontId="17" fillId="25" borderId="21" xfId="1" applyFont="1" applyFill="1" applyBorder="1" applyAlignment="1">
      <alignment horizontal="center" vertical="center" wrapText="1"/>
    </xf>
    <xf numFmtId="0" fontId="17" fillId="25" borderId="4" xfId="1" applyFont="1" applyFill="1" applyBorder="1" applyAlignment="1">
      <alignment horizontal="center" vertical="center" wrapText="1"/>
    </xf>
    <xf numFmtId="0" fontId="17" fillId="25" borderId="22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17" fillId="8" borderId="21" xfId="1" applyFont="1" applyFill="1" applyBorder="1" applyAlignment="1">
      <alignment horizontal="center" vertical="center" wrapText="1"/>
    </xf>
    <xf numFmtId="0" fontId="17" fillId="8" borderId="22" xfId="1" applyFont="1" applyFill="1" applyBorder="1" applyAlignment="1">
      <alignment horizontal="center" vertical="center" wrapText="1"/>
    </xf>
    <xf numFmtId="43" fontId="4" fillId="2" borderId="0" xfId="2" applyFont="1" applyFill="1" applyAlignment="1">
      <alignment horizontal="center" vertical="center"/>
    </xf>
    <xf numFmtId="164" fontId="4" fillId="8" borderId="0" xfId="2" applyNumberFormat="1" applyFont="1" applyFill="1" applyAlignment="1">
      <alignment horizontal="center" vertical="center"/>
    </xf>
    <xf numFmtId="43" fontId="17" fillId="2" borderId="0" xfId="1" applyNumberFormat="1" applyFont="1" applyFill="1" applyAlignment="1">
      <alignment horizontal="center" vertical="center"/>
    </xf>
    <xf numFmtId="43" fontId="17" fillId="8" borderId="1" xfId="1" applyNumberFormat="1" applyFont="1" applyFill="1" applyBorder="1" applyAlignment="1">
      <alignment horizontal="center" vertical="center"/>
    </xf>
    <xf numFmtId="0" fontId="17" fillId="8" borderId="11" xfId="1" applyFont="1" applyFill="1" applyBorder="1" applyAlignment="1">
      <alignment horizontal="center" vertical="center"/>
    </xf>
    <xf numFmtId="43" fontId="4" fillId="2" borderId="21" xfId="1" applyNumberFormat="1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164" fontId="4" fillId="2" borderId="21" xfId="2" applyNumberFormat="1" applyFont="1" applyFill="1" applyBorder="1" applyAlignment="1">
      <alignment horizontal="left" vertical="center"/>
    </xf>
    <xf numFmtId="164" fontId="4" fillId="2" borderId="4" xfId="2" applyNumberFormat="1" applyFont="1" applyFill="1" applyBorder="1" applyAlignment="1">
      <alignment horizontal="left" vertical="center"/>
    </xf>
    <xf numFmtId="164" fontId="4" fillId="2" borderId="22" xfId="2" applyNumberFormat="1" applyFont="1" applyFill="1" applyBorder="1" applyAlignment="1">
      <alignment horizontal="left" vertical="center"/>
    </xf>
    <xf numFmtId="43" fontId="68" fillId="4" borderId="21" xfId="2" applyFont="1" applyFill="1" applyBorder="1" applyAlignment="1">
      <alignment horizontal="center" vertical="center"/>
    </xf>
    <xf numFmtId="43" fontId="68" fillId="4" borderId="22" xfId="2" applyFont="1" applyFill="1" applyBorder="1" applyAlignment="1">
      <alignment horizontal="center" vertical="center"/>
    </xf>
    <xf numFmtId="0" fontId="17" fillId="20" borderId="21" xfId="1" applyFont="1" applyFill="1" applyBorder="1" applyAlignment="1">
      <alignment horizontal="center" vertical="center"/>
    </xf>
    <xf numFmtId="0" fontId="17" fillId="20" borderId="22" xfId="1" applyFont="1" applyFill="1" applyBorder="1" applyAlignment="1">
      <alignment horizontal="center" vertical="center"/>
    </xf>
    <xf numFmtId="0" fontId="45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73" fillId="5" borderId="21" xfId="1" applyFont="1" applyFill="1" applyBorder="1" applyAlignment="1">
      <alignment horizontal="center" vertical="center"/>
    </xf>
    <xf numFmtId="0" fontId="73" fillId="5" borderId="4" xfId="1" applyFont="1" applyFill="1" applyBorder="1" applyAlignment="1">
      <alignment horizontal="center" vertical="center"/>
    </xf>
    <xf numFmtId="0" fontId="73" fillId="5" borderId="10" xfId="1" applyFont="1" applyFill="1" applyBorder="1" applyAlignment="1">
      <alignment horizontal="center" vertical="center"/>
    </xf>
    <xf numFmtId="0" fontId="11" fillId="8" borderId="21" xfId="1" applyFont="1" applyFill="1" applyBorder="1" applyAlignment="1">
      <alignment horizontal="center" vertical="center"/>
    </xf>
    <xf numFmtId="0" fontId="11" fillId="8" borderId="22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7">
    <cellStyle name="Normal" xfId="0" builtinId="0"/>
    <cellStyle name="Normal 2" xfId="1"/>
    <cellStyle name="Normal 2 2" xfId="4"/>
    <cellStyle name="Normal_MAPA DE EVOLUÇÃO DE RECEITAS" xfId="6"/>
    <cellStyle name="Percentagem 2" xfId="3"/>
    <cellStyle name="Vírgula 2" xfId="2"/>
    <cellStyle name="Vírgula 3" xfId="5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auto="1"/>
        <name val="Arial"/>
      </font>
      <fill>
        <patternFill patternType="solid">
          <bgColor rgb="FFFFFF00"/>
        </patternFill>
      </fill>
      <alignment horizontal="general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rgb="FFFFFF00"/>
        </patternFill>
      </fill>
      <alignment horizontal="left" vertical="bottom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numFmt numFmtId="170" formatCode="&quot;$&quot;#,##0.00"/>
    </dxf>
    <dxf>
      <numFmt numFmtId="170" formatCode="&quot;$&quot;#,##0.00"/>
    </dxf>
    <dxf>
      <numFmt numFmtId="170" formatCode="&quot;$&quot;#,##0.00"/>
    </dxf>
    <dxf>
      <fill>
        <patternFill patternType="solid">
          <bgColor rgb="FFFFFFFF"/>
        </patternFill>
      </fill>
      <alignment horizontal="general" vertical="top" textRotation="0" wrapText="1" shrinkToFit="0" readingOrder="0"/>
      <border>
        <left/>
        <right/>
        <top style="medium">
          <color rgb="FFB8D0E0"/>
        </top>
        <bottom/>
      </border>
    </dxf>
    <dxf>
      <fill>
        <patternFill patternType="solid">
          <bgColor rgb="FFFFFFFF"/>
        </patternFill>
      </fill>
      <alignment horizontal="general" vertical="top" textRotation="0" wrapText="1" shrinkToFit="0" readingOrder="0"/>
      <border>
        <left/>
        <right/>
        <top style="medium">
          <color rgb="FFB8D0E0"/>
        </top>
        <bottom/>
      </border>
    </dxf>
    <dxf>
      <fill>
        <patternFill patternType="solid">
          <bgColor rgb="FFFFFFFF"/>
        </patternFill>
      </fill>
      <alignment horizontal="general" vertical="top" textRotation="0" wrapText="1" shrinkToFit="0" readingOrder="0"/>
      <border>
        <left/>
        <right/>
        <top style="medium">
          <color rgb="FFB8D0E0"/>
        </top>
        <bottom/>
      </border>
    </dxf>
    <dxf>
      <fill>
        <patternFill patternType="solid">
          <bgColor rgb="FFFFFFFF"/>
        </patternFill>
      </fill>
      <alignment horizontal="general" vertical="top" textRotation="0" wrapText="1" shrinkToFit="0" readingOrder="0"/>
      <border>
        <left/>
        <right/>
        <top style="medium">
          <color rgb="FFB8D0E0"/>
        </top>
        <bottom/>
      </border>
    </dxf>
    <dxf>
      <font>
        <b val="0"/>
        <i val="0"/>
        <strike val="0"/>
        <u val="none"/>
        <sz val="11"/>
        <color indexed="8"/>
        <name val="Calibri"/>
      </font>
      <numFmt numFmtId="35" formatCode="_-* #,##0.00\ _€_-;\-* #,##0.00\ _€_-;_-* &quot;-&quot;??\ _€_-;_-@_-"/>
      <alignment horizontal="general" vertical="bottom" textRotation="0" wrapText="0" shrinkToFit="0" readingOrder="0"/>
    </dxf>
    <dxf>
      <font>
        <b val="0"/>
        <i val="0"/>
        <strike val="0"/>
        <u val="none"/>
        <sz val="11"/>
        <color indexed="8"/>
        <name val="Calibri"/>
      </font>
      <alignment horizontal="general" vertical="bottom" textRotation="0" wrapText="0" shrinkToFit="0" readingOrder="0"/>
    </dxf>
    <dxf>
      <fill>
        <patternFill patternType="solid">
          <bgColor rgb="FFFFFFFF"/>
        </patternFill>
      </fill>
      <alignment horizontal="general" vertical="top" textRotation="0" wrapText="1" shrinkToFit="0" readingOrder="0"/>
    </dxf>
    <dxf>
      <font>
        <b val="0"/>
        <i val="0"/>
        <strike val="0"/>
        <u val="none"/>
        <sz val="11"/>
        <color indexed="8"/>
        <name val="Calibri"/>
      </font>
      <alignment horizontal="general" vertical="bottom" textRotation="0" wrapText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1209675</xdr:colOff>
      <xdr:row>0</xdr:row>
      <xdr:rowOff>66675</xdr:rowOff>
    </xdr:from>
    <xdr:to>
      <xdr:col>7</xdr:col>
      <xdr:colOff>95250</xdr:colOff>
      <xdr:row>3</xdr:row>
      <xdr:rowOff>19050</xdr:rowOff>
    </xdr:to>
    <xdr:pic>
      <xdr:nvPicPr>
        <xdr:cNvPr id="2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66675"/>
          <a:ext cx="790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334736</xdr:colOff>
      <xdr:row>0</xdr:row>
      <xdr:rowOff>0</xdr:rowOff>
    </xdr:from>
    <xdr:to>
      <xdr:col>0</xdr:col>
      <xdr:colOff>0</xdr:colOff>
      <xdr:row>60</xdr:row>
      <xdr:rowOff>9525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1</xdr:col>
      <xdr:colOff>971550</xdr:colOff>
      <xdr:row>4</xdr:row>
      <xdr:rowOff>38100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95250"/>
          <a:ext cx="914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904877</xdr:colOff>
      <xdr:row>2</xdr:row>
      <xdr:rowOff>171450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1925" y="114300"/>
          <a:ext cx="742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495860</xdr:colOff>
      <xdr:row>1</xdr:row>
      <xdr:rowOff>26334</xdr:rowOff>
    </xdr:from>
    <xdr:to>
      <xdr:col>0</xdr:col>
      <xdr:colOff>1029260</xdr:colOff>
      <xdr:row>3</xdr:row>
      <xdr:rowOff>16809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" y="219075"/>
          <a:ext cx="5334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85725</xdr:rowOff>
    </xdr:from>
    <xdr:to>
      <xdr:col>2</xdr:col>
      <xdr:colOff>971550</xdr:colOff>
      <xdr:row>3</xdr:row>
      <xdr:rowOff>161925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650" y="85725"/>
          <a:ext cx="1000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283152</xdr:colOff>
      <xdr:row>0</xdr:row>
      <xdr:rowOff>160194</xdr:rowOff>
    </xdr:from>
    <xdr:to>
      <xdr:col>0</xdr:col>
      <xdr:colOff>1140402</xdr:colOff>
      <xdr:row>3</xdr:row>
      <xdr:rowOff>141144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3152" y="160194"/>
          <a:ext cx="857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104775</xdr:rowOff>
    </xdr:from>
    <xdr:to>
      <xdr:col>0</xdr:col>
      <xdr:colOff>828675</xdr:colOff>
      <xdr:row>2</xdr:row>
      <xdr:rowOff>95250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275" y="104775"/>
          <a:ext cx="5334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334736</xdr:colOff>
      <xdr:row>1</xdr:row>
      <xdr:rowOff>110558</xdr:rowOff>
    </xdr:from>
    <xdr:to>
      <xdr:col>3</xdr:col>
      <xdr:colOff>800100</xdr:colOff>
      <xdr:row>4</xdr:row>
      <xdr:rowOff>120083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04800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1</xdr:row>
      <xdr:rowOff>76200</xdr:rowOff>
    </xdr:from>
    <xdr:to>
      <xdr:col>4</xdr:col>
      <xdr:colOff>466725</xdr:colOff>
      <xdr:row>4</xdr:row>
      <xdr:rowOff>0</xdr:rowOff>
    </xdr:to>
    <xdr:pic>
      <xdr:nvPicPr>
        <xdr:cNvPr id="2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71925" y="228600"/>
          <a:ext cx="771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878205</xdr:colOff>
      <xdr:row>16</xdr:row>
      <xdr:rowOff>123825</xdr:rowOff>
    </xdr:from>
    <xdr:to>
      <xdr:col>11</xdr:col>
      <xdr:colOff>56616</xdr:colOff>
      <xdr:row>18</xdr:row>
      <xdr:rowOff>123825</xdr:rowOff>
    </xdr:to>
    <xdr:sp macro="" textlink="" fLocksText="0">
      <xdr:nvSpPr>
        <xdr:cNvPr id="3" name="Seta para baixo 1"/>
        <xdr:cNvSpPr/>
      </xdr:nvSpPr>
      <xdr:spPr>
        <a:xfrm>
          <a:off x="9258300" y="3228975"/>
          <a:ext cx="0" cy="381000"/>
        </a:xfrm>
        <a:prstGeom prst="downArrow">
          <a:avLst/>
        </a:prstGeom>
        <a:solidFill>
          <a:schemeClr val="accent1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pt-PT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la.Rodrigues/Downloads/Orc2023.cleaned.xlsx" TargetMode="Externa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CMSM / UGA - Anila Maria Correia Rodrigues" refreshedDate="44609.428612384261" createdVersion="6" refreshedVersion="6" minRefreshableVersion="3" recordCount="121">
  <cacheSource type="worksheet">
    <worksheetSource name="_FilterDatabase" sheet="#REF" r:id="rId1"/>
  </cacheSource>
  <cacheFields count="6">
    <cacheField name="emprestimo" numFmtId="0">
      <sharedItems/>
    </cacheField>
    <cacheField name="amortização" numFmtId="43">
      <sharedItems containsSemiMixedTypes="0" containsString="0" containsNumber="1" containsInteger="1"/>
    </cacheField>
    <cacheField name="prestação" numFmtId="43">
      <sharedItems containsSemiMixedTypes="0" containsString="0" containsNumber="1" containsInteger="1"/>
    </cacheField>
    <cacheField name="juros" numFmtId="43">
      <sharedItems containsSemiMixedTypes="0" containsString="0" containsNumber="1" containsInteger="1"/>
    </cacheField>
    <cacheField name="capital em divida" numFmtId="43">
      <sharedItems containsSemiMixedTypes="0" containsString="0" containsNumber="1" containsInteger="1"/>
    </cacheField>
    <cacheField name="mês" numFmtId="43">
      <sharedItems count="13">
        <s v="JAN"/>
        <s v="fev"/>
        <s v="mar"/>
        <s v="abr"/>
        <s v="mai"/>
        <s v="jun"/>
        <s v="jul"/>
        <s v="ago"/>
        <s v="set"/>
        <s v="out"/>
        <s v="nov"/>
        <s v="dez"/>
        <s v="jan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MSM / UGA - Anila Maria Correia Rodrigues" refreshedDate="44812.412710763892" createdVersion="7" refreshedVersion="6" minRefreshableVersion="3" recordCount="56">
  <cacheSource type="worksheet">
    <worksheetSource name="Table3"/>
  </cacheSource>
  <cacheFields count="4">
    <cacheField name="nome" numFmtId="0">
      <sharedItems/>
    </cacheField>
    <cacheField name="valor" numFmtId="170">
      <sharedItems containsSemiMixedTypes="0" containsString="0" containsNumber="1" containsInteger="1" minValue="100000" maxValue="32000000"/>
    </cacheField>
    <cacheField name="rubrica" numFmtId="0">
      <sharedItems count="9">
        <s v="02.08.02"/>
        <s v="03.01.01.01.06.01"/>
        <s v="03.01.04.04.02.01"/>
        <s v="02.01.01.02.07"/>
        <s v="02.07.02.01"/>
        <s v="03.01.01.02.04.01"/>
        <s v="02.02.02.01.03.01"/>
        <s v="03.01.01.02..01.03.01"/>
        <s v="03.01.01.01.04.01"/>
      </sharedItems>
    </cacheField>
    <cacheField name="cc" numFmtId="0">
      <sharedItems count="10">
        <s v="Direção da Educação, Formação Profissional, Emprego"/>
        <s v="Dir.Ambiente e Saneamento "/>
        <s v="Dir. Turismo, Investimento e Emprendedorismo"/>
        <s v="Dir. da Agricultura, Pecuaria e Floresta"/>
        <s v="Dir. Proteção Civil"/>
        <s v="Direção de Inovação e Desporto"/>
        <s v="Dir. Juventude e Cultura "/>
        <s v="Direcao da Familia, Inclusão, Genero e Saúde"/>
        <s v="Dir. do Comércio, Indústria, Transporte Feiras e Pesca"/>
        <s v="Direção de Obr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MSM / UGA - Anila Maria Correia Rodrigues" refreshedDate="44812.412711111108" createdVersion="7" refreshedVersion="6" minRefreshableVersion="3" recordCount="59">
  <cacheSource type="worksheet">
    <worksheetSource name="Table2"/>
  </cacheSource>
  <cacheFields count="5">
    <cacheField name="Rubrica" numFmtId="0">
      <sharedItems containsBlank="1" count="11">
        <s v="02.08.02"/>
        <s v="03.01.01.01.06.01"/>
        <s v="03.01.04.04.02.01"/>
        <s v="02.01.01.02.07"/>
        <s v="02.07.02.01"/>
        <s v="03.01.01.02.04.01"/>
        <s v="02.02.02.01.03.01"/>
        <s v="03.01.01.02..01.03.01"/>
        <s v="03.01.01.01.04.01"/>
        <m u="1"/>
        <s v="03.01.01.01.06.02" u="1"/>
      </sharedItems>
    </cacheField>
    <cacheField name="Nome" numFmtId="0">
      <sharedItems/>
    </cacheField>
    <cacheField name="Valor" numFmtId="168">
      <sharedItems containsString="0" containsBlank="1" containsNumber="1" containsInteger="1" minValue="100000" maxValue="40000000"/>
    </cacheField>
    <cacheField name="CC" numFmtId="0">
      <sharedItems count="10">
        <s v="Direção da Educação, Formação Profissional, Emprego"/>
        <s v="Dir.Ambiente e Saneamento "/>
        <s v="Dir. Turismo, Investimento e Emprendedorismo"/>
        <s v="Dir. da Agricultura, Pecuaria e Floresta"/>
        <s v="Dir. Proteção Civil"/>
        <s v="Direção de Inovação e Desporto"/>
        <s v="Dir. Juventude e Cultura "/>
        <s v="Direcao da Familia, Inclusão, Genero e Saúde"/>
        <s v="Dir. do Comércio, Indústria, Transporte Feiras e Pesca"/>
        <s v="Direção de Obras"/>
      </sharedItems>
    </cacheField>
    <cacheField name="cod" numFmtId="0">
      <sharedItems containsSemiMixedTypes="0" containsString="0" containsNumber="1" containsInteger="1" minValue="4" maxValue="23" count="10">
        <n v="11"/>
        <n v="4"/>
        <n v="9"/>
        <n v="14"/>
        <n v="5"/>
        <n v="7"/>
        <n v="6"/>
        <n v="12"/>
        <n v="8"/>
        <n v="2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Elvis Pereira" refreshedDate="44812.425913194442" createdVersion="5" refreshedVersion="5" minRefreshableVersion="3" recordCount="60">
  <cacheSource type="worksheet">
    <worksheetSource name="Tabela1"/>
  </cacheSource>
  <cacheFields count="6">
    <cacheField name="emprestimo" numFmtId="0">
      <sharedItems/>
    </cacheField>
    <cacheField name="amortização" numFmtId="43">
      <sharedItems containsSemiMixedTypes="0" containsString="0" containsNumber="1" containsInteger="1" minValue="199953" maxValue="664418"/>
    </cacheField>
    <cacheField name="prestação" numFmtId="43">
      <sharedItems containsSemiMixedTypes="0" containsString="0" containsNumber="1" containsInteger="1" minValue="448570" maxValue="777399"/>
    </cacheField>
    <cacheField name="juros" numFmtId="43">
      <sharedItems containsSemiMixedTypes="0" containsString="0" containsNumber="1" containsInteger="1" minValue="44378" maxValue="248617"/>
    </cacheField>
    <cacheField name="capital em divida" numFmtId="43">
      <sharedItems containsSemiMixedTypes="0" containsString="0" containsNumber="1" containsInteger="1" minValue="13625525" maxValue="50771451"/>
    </cacheField>
    <cacheField name="mês" numFmtId="43">
      <sharedItems count="12">
        <s v="JAN"/>
        <s v="fev"/>
        <s v="mar"/>
        <s v="abr"/>
        <s v="mai"/>
        <s v="jun"/>
        <s v="jul"/>
        <s v="ago"/>
        <s v="set"/>
        <s v="out"/>
        <s v="nov"/>
        <s v="dez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s v="Empoderamento da Mulher"/>
    <n v="500000"/>
    <x v="0"/>
    <x v="0"/>
  </r>
  <r>
    <s v="Criação e manutenção de espaços verdes"/>
    <n v="1100000"/>
    <x v="1"/>
    <x v="1"/>
  </r>
  <r>
    <s v="projeto São Miguel On"/>
    <n v="2000000"/>
    <x v="2"/>
    <x v="2"/>
  </r>
  <r>
    <s v="Projecto hidroagricula da ribeira de flamengos, espinho branco e achada espinho branco"/>
    <n v="1200000"/>
    <x v="0"/>
    <x v="3"/>
  </r>
  <r>
    <s v="Formação de Bombeiros/Fiscais Municipais"/>
    <n v="100000"/>
    <x v="3"/>
    <x v="4"/>
  </r>
  <r>
    <s v="Apoio ao ensino básico e secundário "/>
    <n v="100000"/>
    <x v="0"/>
    <x v="0"/>
  </r>
  <r>
    <s v="Apoio pre escolar"/>
    <n v="1000000"/>
    <x v="0"/>
    <x v="0"/>
  </r>
  <r>
    <s v="Transporte escolar"/>
    <n v="3500000"/>
    <x v="0"/>
    <x v="0"/>
  </r>
  <r>
    <s v="Comparticipação Ensino Superior"/>
    <n v="300000"/>
    <x v="0"/>
    <x v="0"/>
  </r>
  <r>
    <s v="Criação e Manutenção de parques infantis e Espaços Fitness Park"/>
    <n v="1150000"/>
    <x v="1"/>
    <x v="5"/>
  </r>
  <r>
    <s v="Atividades desportivas e promoção do desporto no Concelho"/>
    <n v="3205000"/>
    <x v="1"/>
    <x v="5"/>
  </r>
  <r>
    <s v="Reabilitação de Placas Desportivas"/>
    <n v="2000000"/>
    <x v="1"/>
    <x v="5"/>
  </r>
  <r>
    <s v="Estágios Profissionais e promocao de emprego"/>
    <n v="1100000"/>
    <x v="0"/>
    <x v="0"/>
  </r>
  <r>
    <s v="Apoio a Formação Profissional"/>
    <n v="400000"/>
    <x v="0"/>
    <x v="0"/>
  </r>
  <r>
    <s v="Atividades culturais e promoção da cultura no Concelho"/>
    <n v="4000000"/>
    <x v="0"/>
    <x v="6"/>
  </r>
  <r>
    <s v="Apoio Consultas de Especialidade e Medicamentos"/>
    <n v="300000"/>
    <x v="4"/>
    <x v="7"/>
  </r>
  <r>
    <s v="promoçao e inclusao social "/>
    <n v="2500000"/>
    <x v="4"/>
    <x v="7"/>
  </r>
  <r>
    <s v="Apoio para Aquisição de Materiais de Pescas e Botes"/>
    <n v="1000000"/>
    <x v="5"/>
    <x v="8"/>
  </r>
  <r>
    <s v="Sinalização Turística do Concelho de São Miguel"/>
    <n v="1700000"/>
    <x v="1"/>
    <x v="2"/>
  </r>
  <r>
    <s v="Conclusão das obras de casa das artes de Achada Bolanha "/>
    <n v="2000000"/>
    <x v="6"/>
    <x v="2"/>
  </r>
  <r>
    <s v="Construção de Mercadinhos flamengo e ribeira principal"/>
    <n v="3000000"/>
    <x v="1"/>
    <x v="9"/>
  </r>
  <r>
    <s v="Construção do parque industrial"/>
    <n v="5000000"/>
    <x v="1"/>
    <x v="9"/>
  </r>
  <r>
    <s v="Toponimia e Enumeração Policial"/>
    <n v="1000000"/>
    <x v="5"/>
    <x v="9"/>
  </r>
  <r>
    <s v="Infraestruturação da Zona do Bácio"/>
    <n v="15000000"/>
    <x v="1"/>
    <x v="9"/>
  </r>
  <r>
    <s v="Revisão do PDM "/>
    <n v="2500000"/>
    <x v="6"/>
    <x v="9"/>
  </r>
  <r>
    <s v="Elaboração de Planos Detalhados"/>
    <n v="1000000"/>
    <x v="6"/>
    <x v="9"/>
  </r>
  <r>
    <s v="Reforço do Saneamento Básico"/>
    <n v="4000000"/>
    <x v="0"/>
    <x v="9"/>
  </r>
  <r>
    <s v="Manutenção de Cemitérios"/>
    <n v="700000"/>
    <x v="1"/>
    <x v="9"/>
  </r>
  <r>
    <s v="Transferência de Residuos Aterro Santiago"/>
    <n v="4000000"/>
    <x v="5"/>
    <x v="9"/>
  </r>
  <r>
    <s v="controlo da população canina"/>
    <n v="2800000"/>
    <x v="7"/>
    <x v="9"/>
  </r>
  <r>
    <s v="Construção de Casas de Banho"/>
    <n v="2000000"/>
    <x v="1"/>
    <x v="9"/>
  </r>
  <r>
    <s v="Rede de Esgotos"/>
    <n v="1000000"/>
    <x v="1"/>
    <x v="9"/>
  </r>
  <r>
    <s v="Projeto de Abastecimento de Àgua as comunidades de Flamentos e Ribeira de São Miguel"/>
    <n v="25300000"/>
    <x v="5"/>
    <x v="9"/>
  </r>
  <r>
    <s v="Ligações domiciliarias nas localidades de Lém Cardoso, pilao cao  Espinho Branco, Flamengos e Ribeira de São Miguel"/>
    <n v="9000000"/>
    <x v="5"/>
    <x v="9"/>
  </r>
  <r>
    <s v="Sinalização de Transito "/>
    <n v="1500000"/>
    <x v="5"/>
    <x v="9"/>
  </r>
  <r>
    <s v="Plano de emergencia epoca das chuvas"/>
    <n v="1000000"/>
    <x v="0"/>
    <x v="9"/>
  </r>
  <r>
    <s v="Plano de Mitigação as secas e maus anos agricolas"/>
    <n v="15000000"/>
    <x v="0"/>
    <x v="9"/>
  </r>
  <r>
    <s v="Eletrificação de Ponta Can"/>
    <n v="1000000"/>
    <x v="5"/>
    <x v="9"/>
  </r>
  <r>
    <s v="Reabilitação de jardins infantis e escolas do EBI"/>
    <n v="1500000"/>
    <x v="8"/>
    <x v="9"/>
  </r>
  <r>
    <s v="Manutenção do  Estádio Municipal "/>
    <n v="6000000"/>
    <x v="1"/>
    <x v="9"/>
  </r>
  <r>
    <s v="requalificaçao urbana e ambiental de veneza"/>
    <n v="5000000"/>
    <x v="1"/>
    <x v="9"/>
  </r>
  <r>
    <s v="Reabilitações de estradas rurais "/>
    <n v="17000000"/>
    <x v="1"/>
    <x v="9"/>
  </r>
  <r>
    <s v="Manutenção e Reabilitação de Edificios Municipais"/>
    <n v="4000000"/>
    <x v="1"/>
    <x v="9"/>
  </r>
  <r>
    <s v="vedaçao do campo de Manguinho e achada bolanha"/>
    <n v="8000000"/>
    <x v="1"/>
    <x v="9"/>
  </r>
  <r>
    <s v="Asfaltagem da via de acesso a rabelado em Espinho Branco"/>
    <n v="12000000"/>
    <x v="1"/>
    <x v="9"/>
  </r>
  <r>
    <s v="Requalificação urbana e ambiental de Dacalinha em Achada Monte"/>
    <n v="3500000"/>
    <x v="1"/>
    <x v="9"/>
  </r>
  <r>
    <s v="Construção da Estrada Igreja a Cutelo Gomes"/>
    <n v="20000000"/>
    <x v="1"/>
    <x v="9"/>
  </r>
  <r>
    <s v="espaço tratamento de peixes"/>
    <n v="1500000"/>
    <x v="1"/>
    <x v="9"/>
  </r>
  <r>
    <s v="Construção da Estrada de Mato Dentro"/>
    <n v="32000000"/>
    <x v="1"/>
    <x v="9"/>
  </r>
  <r>
    <s v="Construção da Estrada Aguadinha"/>
    <n v="14500000"/>
    <x v="1"/>
    <x v="9"/>
  </r>
  <r>
    <s v="Requalificação urbana e ambiental de Variante Monte pousada"/>
    <n v="2000000"/>
    <x v="1"/>
    <x v="9"/>
  </r>
  <r>
    <s v="Projeto de valorização Turistica das aldeias rurais"/>
    <n v="2500000"/>
    <x v="1"/>
    <x v="9"/>
  </r>
  <r>
    <s v="Reabilitação de espaço joven de ponta verde e pilao cao"/>
    <n v="2500000"/>
    <x v="1"/>
    <x v="9"/>
  </r>
  <r>
    <s v="Manutenção dos USB´s da ribeira de são miguel"/>
    <n v="1500000"/>
    <x v="1"/>
    <x v="7"/>
  </r>
  <r>
    <s v="Habitações Sociais"/>
    <n v="13000000"/>
    <x v="1"/>
    <x v="7"/>
  </r>
  <r>
    <s v="Apoio a crianças Vulneráveis"/>
    <n v="1200000"/>
    <x v="0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9">
  <r>
    <x v="0"/>
    <s v="Empoderamento da Mulher"/>
    <n v="500000"/>
    <x v="0"/>
    <x v="0"/>
  </r>
  <r>
    <x v="1"/>
    <s v="Criação e manutenção de espaços verdes"/>
    <n v="1100000"/>
    <x v="1"/>
    <x v="1"/>
  </r>
  <r>
    <x v="2"/>
    <s v="projeto São Miguel On"/>
    <n v="2000000"/>
    <x v="2"/>
    <x v="2"/>
  </r>
  <r>
    <x v="0"/>
    <s v="Projecto hidroagricula da ribeira de flamengos e espinho branco e achada espinho branco"/>
    <n v="1200000"/>
    <x v="3"/>
    <x v="3"/>
  </r>
  <r>
    <x v="3"/>
    <s v="Formação de Bombeiros/Fiscais Municipais"/>
    <n v="100000"/>
    <x v="4"/>
    <x v="4"/>
  </r>
  <r>
    <x v="0"/>
    <s v="Apoio ao ensino básico e secundário "/>
    <n v="100000"/>
    <x v="0"/>
    <x v="0"/>
  </r>
  <r>
    <x v="0"/>
    <s v="Apoio pre escolar"/>
    <n v="1000000"/>
    <x v="0"/>
    <x v="0"/>
  </r>
  <r>
    <x v="0"/>
    <s v="Transporte escolar"/>
    <n v="4000000"/>
    <x v="0"/>
    <x v="0"/>
  </r>
  <r>
    <x v="0"/>
    <s v="Comparticipação Ensino Superior"/>
    <n v="600000"/>
    <x v="0"/>
    <x v="0"/>
  </r>
  <r>
    <x v="1"/>
    <s v="Criação e Manutenção de parques infantis e Espaços Fitness Park"/>
    <n v="2000000"/>
    <x v="5"/>
    <x v="5"/>
  </r>
  <r>
    <x v="1"/>
    <s v="Atividades desportivas e promoção do desporto no Concelho"/>
    <n v="3205000"/>
    <x v="5"/>
    <x v="5"/>
  </r>
  <r>
    <x v="1"/>
    <s v="Construção e Reabilitação de Placas Desportivas"/>
    <n v="2000000"/>
    <x v="5"/>
    <x v="5"/>
  </r>
  <r>
    <x v="0"/>
    <s v="Estágios Profissionais e promocao de emprego"/>
    <n v="1100000"/>
    <x v="0"/>
    <x v="0"/>
  </r>
  <r>
    <x v="0"/>
    <s v="Apoio a Formação Profissional"/>
    <n v="400000"/>
    <x v="0"/>
    <x v="0"/>
  </r>
  <r>
    <x v="0"/>
    <s v="Atividades culturais e promoção da cultura no Concelho"/>
    <n v="6000000"/>
    <x v="6"/>
    <x v="6"/>
  </r>
  <r>
    <x v="4"/>
    <s v="Apoio Consultas de Especialidade e Medicamentos"/>
    <n v="300000"/>
    <x v="7"/>
    <x v="7"/>
  </r>
  <r>
    <x v="4"/>
    <s v="promoçao e inclusao social "/>
    <n v="2500000"/>
    <x v="7"/>
    <x v="7"/>
  </r>
  <r>
    <x v="5"/>
    <s v="Apoio para Aquisição de Materiais de Pescas e Botes"/>
    <n v="1000000"/>
    <x v="8"/>
    <x v="8"/>
  </r>
  <r>
    <x v="1"/>
    <s v="Sinalização Turística do Concelho de São Miguel"/>
    <n v="1700000"/>
    <x v="2"/>
    <x v="2"/>
  </r>
  <r>
    <x v="6"/>
    <s v="Conclusão das obras de casa das artes de Achada Bolanha "/>
    <n v="2000000"/>
    <x v="2"/>
    <x v="2"/>
  </r>
  <r>
    <x v="1"/>
    <s v="Construção de Mercadinhos flamengo e ribeira principal"/>
    <n v="3000000"/>
    <x v="9"/>
    <x v="9"/>
  </r>
  <r>
    <x v="1"/>
    <s v="Construção do parque industrial"/>
    <n v="5000000"/>
    <x v="9"/>
    <x v="9"/>
  </r>
  <r>
    <x v="5"/>
    <s v="Toponimia e Enumeração Policial"/>
    <n v="1000000"/>
    <x v="9"/>
    <x v="9"/>
  </r>
  <r>
    <x v="1"/>
    <s v="Infraestruturação da Zona do Bácio"/>
    <n v="20000000"/>
    <x v="9"/>
    <x v="9"/>
  </r>
  <r>
    <x v="6"/>
    <s v="Revisão do PDM "/>
    <n v="1500000"/>
    <x v="9"/>
    <x v="9"/>
  </r>
  <r>
    <x v="6"/>
    <s v="Elaboração de Planos Detalhados"/>
    <n v="1000000"/>
    <x v="9"/>
    <x v="9"/>
  </r>
  <r>
    <x v="0"/>
    <s v="Reforço do Saneamento Básico"/>
    <n v="4000000"/>
    <x v="9"/>
    <x v="9"/>
  </r>
  <r>
    <x v="1"/>
    <s v="Manutenção de Cemitérios"/>
    <n v="500000"/>
    <x v="9"/>
    <x v="9"/>
  </r>
  <r>
    <x v="5"/>
    <s v="Transferência de Residuos Aterro Santiago"/>
    <n v="4000000"/>
    <x v="9"/>
    <x v="9"/>
  </r>
  <r>
    <x v="7"/>
    <s v="controlo da população canina"/>
    <n v="2800000"/>
    <x v="9"/>
    <x v="9"/>
  </r>
  <r>
    <x v="1"/>
    <s v="Construção de Casas de Banho"/>
    <n v="2000000"/>
    <x v="9"/>
    <x v="9"/>
  </r>
  <r>
    <x v="1"/>
    <s v="Rede de Esgotos"/>
    <n v="1000000"/>
    <x v="9"/>
    <x v="9"/>
  </r>
  <r>
    <x v="5"/>
    <s v="Projeto de Abastecimento de Àgua as comunidades de Flamentos e Ribeira de São Miguel"/>
    <n v="13000000"/>
    <x v="9"/>
    <x v="9"/>
  </r>
  <r>
    <x v="5"/>
    <s v="Ligações domiciliarias nas localidades de Lém Cardoso,  Espinho Branco, Flamengos e Ribeira de São Miguel"/>
    <n v="8000000"/>
    <x v="9"/>
    <x v="9"/>
  </r>
  <r>
    <x v="1"/>
    <s v="Manutenção de Caminhos Vicinais e Melhoramento de Acessos"/>
    <n v="6000000"/>
    <x v="9"/>
    <x v="9"/>
  </r>
  <r>
    <x v="5"/>
    <s v="projeto de selagem da lixeira de bacio"/>
    <n v="10000000"/>
    <x v="9"/>
    <x v="9"/>
  </r>
  <r>
    <x v="5"/>
    <s v="Sinalização de Transito "/>
    <n v="700000"/>
    <x v="9"/>
    <x v="9"/>
  </r>
  <r>
    <x v="0"/>
    <s v="Plano de emergencia epoca das chuvas"/>
    <n v="1000000"/>
    <x v="9"/>
    <x v="9"/>
  </r>
  <r>
    <x v="0"/>
    <s v="Plano de Mitigação as secas e maus anos agricolas"/>
    <n v="15000000"/>
    <x v="9"/>
    <x v="9"/>
  </r>
  <r>
    <x v="5"/>
    <s v="Eletrificação de Ponta Can"/>
    <n v="1000000"/>
    <x v="9"/>
    <x v="9"/>
  </r>
  <r>
    <x v="8"/>
    <s v="Reabilitação de jardins infantis e escolas do EBI"/>
    <n v="2000000"/>
    <x v="9"/>
    <x v="9"/>
  </r>
  <r>
    <x v="1"/>
    <s v="Manutenção do  Estádio Municipal "/>
    <n v="3000000"/>
    <x v="9"/>
    <x v="9"/>
  </r>
  <r>
    <x v="1"/>
    <s v="requalificaçao urbana e ambiental de veneza"/>
    <n v="5000000"/>
    <x v="9"/>
    <x v="9"/>
  </r>
  <r>
    <x v="1"/>
    <s v="Reabilitações de estradas rurais "/>
    <n v="17000000"/>
    <x v="9"/>
    <x v="9"/>
  </r>
  <r>
    <x v="1"/>
    <s v="Manutenção e Reabilitação de Edificios Municipais"/>
    <n v="1500000"/>
    <x v="9"/>
    <x v="9"/>
  </r>
  <r>
    <x v="1"/>
    <s v="Reabilitação de mercados"/>
    <m/>
    <x v="9"/>
    <x v="9"/>
  </r>
  <r>
    <x v="1"/>
    <s v="Construção do campo de Manguinho e achada bolanha"/>
    <n v="8000000"/>
    <x v="9"/>
    <x v="9"/>
  </r>
  <r>
    <x v="1"/>
    <s v="Asfaltagem da via de acesso a rabelado em Espinho Branco"/>
    <n v="12000000"/>
    <x v="9"/>
    <x v="9"/>
  </r>
  <r>
    <x v="1"/>
    <s v="Requalificação urbana e ambiental de Dacalinha em Achada Monte"/>
    <n v="3500000"/>
    <x v="9"/>
    <x v="9"/>
  </r>
  <r>
    <x v="1"/>
    <s v="Construção da Estrada Igreja a Cutelo Gomes"/>
    <n v="20000000"/>
    <x v="9"/>
    <x v="9"/>
  </r>
  <r>
    <x v="1"/>
    <s v="Construção de mercados de peixes"/>
    <n v="5000000"/>
    <x v="9"/>
    <x v="9"/>
  </r>
  <r>
    <x v="1"/>
    <s v="Construção da Estrada de Mato Dentro"/>
    <n v="40000000"/>
    <x v="9"/>
    <x v="9"/>
  </r>
  <r>
    <x v="1"/>
    <s v="Construção da Estrada Aguadinha"/>
    <n v="14500000"/>
    <x v="9"/>
    <x v="9"/>
  </r>
  <r>
    <x v="1"/>
    <s v="Requalificação urbana e ambiental de Variante Monte pousada"/>
    <n v="2000000"/>
    <x v="9"/>
    <x v="9"/>
  </r>
  <r>
    <x v="1"/>
    <s v="Projeto de valorização Turistica das aldeias rurais"/>
    <n v="2000000"/>
    <x v="9"/>
    <x v="9"/>
  </r>
  <r>
    <x v="1"/>
    <s v="Reabilitação de espaços jovens ponta verde"/>
    <n v="2500000"/>
    <x v="9"/>
    <x v="9"/>
  </r>
  <r>
    <x v="1"/>
    <s v="Manutenção dos USB´s"/>
    <n v="500000"/>
    <x v="7"/>
    <x v="7"/>
  </r>
  <r>
    <x v="1"/>
    <s v="Habitações Sociais"/>
    <n v="13000000"/>
    <x v="7"/>
    <x v="7"/>
  </r>
  <r>
    <x v="0"/>
    <s v="Apoio a crianças Vulneráveis"/>
    <n v="1000000"/>
    <x v="7"/>
    <x v="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0">
  <r>
    <s v="Emp001"/>
    <n v="623240"/>
    <n v="777399"/>
    <n v="154159"/>
    <n v="33048964"/>
    <x v="0"/>
  </r>
  <r>
    <s v="Emp001"/>
    <n v="626875"/>
    <n v="777399"/>
    <n v="150524"/>
    <n v="32464351"/>
    <x v="1"/>
  </r>
  <r>
    <s v="Emp001"/>
    <n v="630532"/>
    <n v="777399"/>
    <n v="146867"/>
    <n v="31876327"/>
    <x v="2"/>
  </r>
  <r>
    <s v="Emp001"/>
    <n v="634210"/>
    <n v="777399"/>
    <n v="143189"/>
    <n v="31284873"/>
    <x v="3"/>
  </r>
  <r>
    <s v="Emp001"/>
    <n v="637910"/>
    <n v="777399"/>
    <n v="139489"/>
    <n v="30689969"/>
    <x v="4"/>
  </r>
  <r>
    <s v="Emp001"/>
    <n v="641631"/>
    <n v="777399"/>
    <n v="135768"/>
    <n v="30091595"/>
    <x v="5"/>
  </r>
  <r>
    <s v="Emp001"/>
    <n v="645374"/>
    <n v="777399"/>
    <n v="132025"/>
    <n v="29489730"/>
    <x v="6"/>
  </r>
  <r>
    <s v="Emp001"/>
    <n v="649138"/>
    <n v="777399"/>
    <n v="128261"/>
    <n v="28884354"/>
    <x v="7"/>
  </r>
  <r>
    <s v="Emp001"/>
    <n v="652925"/>
    <n v="777399"/>
    <n v="124474"/>
    <n v="28275447"/>
    <x v="8"/>
  </r>
  <r>
    <s v="Emp001"/>
    <n v="656734"/>
    <n v="777399"/>
    <n v="120665"/>
    <n v="27662988"/>
    <x v="9"/>
  </r>
  <r>
    <s v="Emp001"/>
    <n v="660565"/>
    <n v="777399"/>
    <n v="116834"/>
    <n v="27046956"/>
    <x v="10"/>
  </r>
  <r>
    <s v="Emp001"/>
    <n v="664418"/>
    <n v="777399"/>
    <n v="112981"/>
    <n v="26427331"/>
    <x v="11"/>
  </r>
  <r>
    <s v="Emp002"/>
    <n v="407965"/>
    <n v="474957"/>
    <n v="66992"/>
    <n v="17983525"/>
    <x v="0"/>
  </r>
  <r>
    <s v="Emp002"/>
    <n v="409971"/>
    <n v="474957"/>
    <n v="64986"/>
    <n v="17596987"/>
    <x v="1"/>
  </r>
  <r>
    <s v="Emp002"/>
    <n v="411986"/>
    <n v="474957"/>
    <n v="62971"/>
    <n v="17208549"/>
    <x v="2"/>
  </r>
  <r>
    <s v="Emp002"/>
    <n v="414012"/>
    <n v="474957"/>
    <n v="60945"/>
    <n v="16818201"/>
    <x v="3"/>
  </r>
  <r>
    <s v="Emp002"/>
    <n v="416047"/>
    <n v="474957"/>
    <n v="58910"/>
    <n v="16425934"/>
    <x v="4"/>
  </r>
  <r>
    <s v="Emp002"/>
    <n v="418093"/>
    <n v="474957"/>
    <n v="56864"/>
    <n v="16031738"/>
    <x v="5"/>
  </r>
  <r>
    <s v="Emp002"/>
    <n v="420149"/>
    <n v="474957"/>
    <n v="54808"/>
    <n v="15635604"/>
    <x v="6"/>
  </r>
  <r>
    <s v="Emp002"/>
    <n v="422214"/>
    <n v="474957"/>
    <n v="52743"/>
    <n v="15237522"/>
    <x v="7"/>
  </r>
  <r>
    <s v="Emp002"/>
    <n v="424290"/>
    <n v="474957"/>
    <n v="50667"/>
    <n v="14837483"/>
    <x v="8"/>
  </r>
  <r>
    <s v="Emp002"/>
    <n v="426376"/>
    <n v="474957"/>
    <n v="48581"/>
    <n v="14435477"/>
    <x v="9"/>
  </r>
  <r>
    <s v="Emp002"/>
    <n v="428473"/>
    <n v="474957"/>
    <n v="46484"/>
    <n v="14031494"/>
    <x v="10"/>
  </r>
  <r>
    <s v="Emp002"/>
    <n v="430579"/>
    <n v="474957"/>
    <n v="44378"/>
    <n v="13625525"/>
    <x v="11"/>
  </r>
  <r>
    <s v="emp004"/>
    <n v="348480"/>
    <n v="508592"/>
    <n v="160112"/>
    <n v="31150205"/>
    <x v="0"/>
  </r>
  <r>
    <s v="emp004"/>
    <n v="350513"/>
    <n v="508592"/>
    <n v="158079"/>
    <n v="30823322"/>
    <x v="1"/>
  </r>
  <r>
    <s v="emp004"/>
    <n v="352558"/>
    <n v="508592"/>
    <n v="156034"/>
    <n v="30494533"/>
    <x v="2"/>
  </r>
  <r>
    <s v="emp004"/>
    <n v="354614"/>
    <n v="508592"/>
    <n v="153978"/>
    <n v="30163826"/>
    <x v="3"/>
  </r>
  <r>
    <s v="emp004"/>
    <n v="356683"/>
    <n v="508592"/>
    <n v="151909"/>
    <n v="29831190"/>
    <x v="4"/>
  </r>
  <r>
    <s v="emp004"/>
    <n v="358763"/>
    <n v="508592"/>
    <n v="149829"/>
    <n v="29496613"/>
    <x v="5"/>
  </r>
  <r>
    <s v="emp004"/>
    <n v="360856"/>
    <n v="508592"/>
    <n v="147736"/>
    <n v="29160084"/>
    <x v="6"/>
  </r>
  <r>
    <s v="emp004"/>
    <n v="362961"/>
    <n v="508592"/>
    <n v="145631"/>
    <n v="28821592"/>
    <x v="7"/>
  </r>
  <r>
    <s v="emp004"/>
    <n v="365078"/>
    <n v="508592"/>
    <n v="143514"/>
    <n v="28481126"/>
    <x v="8"/>
  </r>
  <r>
    <s v="emp004"/>
    <n v="367208"/>
    <n v="508592"/>
    <n v="141384"/>
    <n v="28138674"/>
    <x v="9"/>
  </r>
  <r>
    <s v="emp004"/>
    <n v="369350"/>
    <n v="508592"/>
    <n v="139242"/>
    <n v="27794224"/>
    <x v="10"/>
  </r>
  <r>
    <s v="emp004"/>
    <n v="371505"/>
    <n v="508592"/>
    <n v="137087"/>
    <n v="27447765"/>
    <x v="11"/>
  </r>
  <r>
    <s v="emp005"/>
    <n v="316497"/>
    <n v="506964"/>
    <n v="190467"/>
    <n v="36014142"/>
    <x v="0"/>
  </r>
  <r>
    <s v="emp005"/>
    <n v="318343"/>
    <n v="506964"/>
    <n v="188621"/>
    <n v="35717260"/>
    <x v="1"/>
  </r>
  <r>
    <s v="emp005"/>
    <n v="320200"/>
    <n v="506964"/>
    <n v="186764"/>
    <n v="35418647"/>
    <x v="2"/>
  </r>
  <r>
    <s v="emp005"/>
    <n v="322068"/>
    <n v="506964"/>
    <n v="184896"/>
    <n v="35118292"/>
    <x v="3"/>
  </r>
  <r>
    <s v="emp005"/>
    <n v="323947"/>
    <n v="506964"/>
    <n v="183017"/>
    <n v="34816185"/>
    <x v="4"/>
  </r>
  <r>
    <s v="emp005"/>
    <n v="325836"/>
    <n v="506964"/>
    <n v="181128"/>
    <n v="34512315"/>
    <x v="5"/>
  </r>
  <r>
    <s v="emp005"/>
    <n v="327737"/>
    <n v="506964"/>
    <n v="179227"/>
    <n v="34206673"/>
    <x v="6"/>
  </r>
  <r>
    <s v="emp005"/>
    <n v="329649"/>
    <n v="506964"/>
    <n v="177315"/>
    <n v="33899248"/>
    <x v="7"/>
  </r>
  <r>
    <s v="emp005"/>
    <n v="331572"/>
    <n v="506964"/>
    <n v="175392"/>
    <n v="33590030"/>
    <x v="8"/>
  </r>
  <r>
    <s v="emp005"/>
    <n v="333506"/>
    <n v="506964"/>
    <n v="173458"/>
    <n v="33279008"/>
    <x v="9"/>
  </r>
  <r>
    <s v="emp005"/>
    <n v="335452"/>
    <n v="506964"/>
    <n v="171512"/>
    <n v="32966171"/>
    <x v="10"/>
  </r>
  <r>
    <s v="emp005"/>
    <n v="337405"/>
    <n v="506964"/>
    <n v="169559"/>
    <n v="32651510"/>
    <x v="11"/>
  </r>
  <r>
    <s v="emp007"/>
    <n v="199953"/>
    <n v="448570"/>
    <n v="248617"/>
    <n v="50771451"/>
    <x v="0"/>
  </r>
  <r>
    <s v="emp007"/>
    <n v="200953"/>
    <n v="448570"/>
    <n v="247617"/>
    <n v="50581252"/>
    <x v="1"/>
  </r>
  <r>
    <s v="emp007"/>
    <n v="201957"/>
    <n v="448570"/>
    <n v="246613"/>
    <n v="50390102"/>
    <x v="2"/>
  </r>
  <r>
    <s v="emp007"/>
    <n v="202967"/>
    <n v="448570"/>
    <n v="245603"/>
    <n v="50197997"/>
    <x v="3"/>
  </r>
  <r>
    <s v="emp007"/>
    <n v="203982"/>
    <n v="448570"/>
    <n v="244588"/>
    <n v="50004931"/>
    <x v="4"/>
  </r>
  <r>
    <s v="emp007"/>
    <n v="205002"/>
    <n v="448570"/>
    <n v="243568"/>
    <n v="49810900"/>
    <x v="5"/>
  </r>
  <r>
    <s v="emp007"/>
    <n v="206027"/>
    <n v="448570"/>
    <n v="242543"/>
    <n v="49615899"/>
    <x v="6"/>
  </r>
  <r>
    <s v="emp007"/>
    <n v="207057"/>
    <n v="448570"/>
    <n v="241513"/>
    <n v="49419923"/>
    <x v="7"/>
  </r>
  <r>
    <s v="emp007"/>
    <n v="208092"/>
    <n v="448570"/>
    <n v="240478"/>
    <n v="49222967"/>
    <x v="8"/>
  </r>
  <r>
    <s v="emp007"/>
    <n v="209133"/>
    <n v="448570"/>
    <n v="239437"/>
    <n v="49025026"/>
    <x v="9"/>
  </r>
  <r>
    <s v="emp007"/>
    <n v="210179"/>
    <n v="448570"/>
    <n v="238391"/>
    <n v="48826095"/>
    <x v="10"/>
  </r>
  <r>
    <s v="emp007"/>
    <n v="211229"/>
    <n v="448570"/>
    <n v="237341"/>
    <n v="48626169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ela dinâmica1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compactData="0" gridDropZones="1" multipleFieldFilters="0">
  <location ref="O7:Q21" firstHeaderRow="1" firstDataRow="2" firstDataCol="1"/>
  <pivotFields count="6">
    <pivotField compact="0" outline="0" showAll="0"/>
    <pivotField dataField="1" compact="0" numFmtId="43" outline="0" showAll="0"/>
    <pivotField compact="0" numFmtId="43" outline="0" showAll="0"/>
    <pivotField dataField="1" compact="0" numFmtId="43" outline="0" showAll="0"/>
    <pivotField compact="0" numFmtId="43" outline="0" showAll="0"/>
    <pivotField axis="axisRow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juros" fld="3" baseField="0" baseItem="0"/>
    <dataField name="Soma de amortização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6" useAutoFormatting="1" itemPrintTitles="1" createdVersion="6" indent="0" compact="0" compactData="0" gridDropZones="1" multipleFieldFilters="0">
  <location ref="H11:J25" firstHeaderRow="1" firstDataRow="2" firstDataCol="1"/>
  <pivotFields count="6">
    <pivotField compact="0" outline="0" showAll="0"/>
    <pivotField dataField="1" compact="0" numFmtId="43" outline="0" showAll="0"/>
    <pivotField compact="0" numFmtId="43" outline="0" showAll="0"/>
    <pivotField dataField="1" compact="0" numFmtId="43" outline="0" showAll="0"/>
    <pivotField compact="0" numFmtId="43" outline="0" showAll="0"/>
    <pivotField axis="axisRow" compact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  <item t="default"/>
      </items>
    </pivotField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juros" fld="3" baseField="5" baseItem="4"/>
    <dataField name="Soma de amortização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useAutoFormatting="1" itemPrintTitles="1" createdVersion="7" indent="0" compact="0" compactData="0" gridDropZones="1" multipleFieldFilters="0">
  <location ref="M11:N23" firstHeaderRow="2" firstDataRow="2" firstDataCol="1"/>
  <pivotFields count="4">
    <pivotField compact="0" outline="0" showAll="0"/>
    <pivotField dataField="1" compact="0" numFmtId="170" outline="0" showAll="0"/>
    <pivotField compact="0" outline="0" showAll="0"/>
    <pivotField axis="axisRow" compact="0" outline="0" showAll="0">
      <items count="11">
        <item x="3"/>
        <item x="8"/>
        <item x="6"/>
        <item x="4"/>
        <item x="2"/>
        <item x="1"/>
        <item x="0"/>
        <item x="7"/>
        <item x="5"/>
        <item x="9"/>
        <item t="default"/>
      </items>
    </pivotField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valor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useAutoFormatting="1" itemPrintTitles="1" createdVersion="7" indent="0" compact="0" compactData="0" gridDropZones="1" multipleFieldFilters="0">
  <location ref="I2:K32" firstHeaderRow="2" firstDataRow="2" firstDataCol="2"/>
  <pivotFields count="4">
    <pivotField compact="0" outline="0" showAll="0"/>
    <pivotField dataField="1" compact="0" numFmtId="170" outline="0" showAll="0"/>
    <pivotField axis="axisRow" compact="0" outline="0" showAll="0">
      <items count="10">
        <item x="3"/>
        <item x="6"/>
        <item x="4"/>
        <item x="0"/>
        <item x="8"/>
        <item x="1"/>
        <item x="7"/>
        <item x="5"/>
        <item x="2"/>
        <item t="default"/>
      </items>
    </pivotField>
    <pivotField axis="axisRow" compact="0" outline="0" showAll="0">
      <items count="11">
        <item x="3"/>
        <item x="8"/>
        <item x="6"/>
        <item x="4"/>
        <item x="2"/>
        <item x="1"/>
        <item x="0"/>
        <item x="7"/>
        <item x="5"/>
        <item x="9"/>
        <item t="default"/>
      </items>
    </pivotField>
  </pivotFields>
  <rowFields count="2">
    <field x="2"/>
    <field x="3"/>
  </rowFields>
  <rowItems count="29">
    <i>
      <x/>
      <x v="3"/>
    </i>
    <i t="default">
      <x/>
    </i>
    <i>
      <x v="1"/>
      <x v="4"/>
    </i>
    <i r="1">
      <x v="9"/>
    </i>
    <i t="default">
      <x v="1"/>
    </i>
    <i>
      <x v="2"/>
      <x v="7"/>
    </i>
    <i t="default">
      <x v="2"/>
    </i>
    <i>
      <x v="3"/>
      <x/>
    </i>
    <i r="1">
      <x v="2"/>
    </i>
    <i r="1">
      <x v="6"/>
    </i>
    <i r="1">
      <x v="7"/>
    </i>
    <i r="1">
      <x v="9"/>
    </i>
    <i t="default">
      <x v="3"/>
    </i>
    <i>
      <x v="4"/>
      <x v="9"/>
    </i>
    <i t="default">
      <x v="4"/>
    </i>
    <i>
      <x v="5"/>
      <x v="4"/>
    </i>
    <i r="1">
      <x v="5"/>
    </i>
    <i r="1">
      <x v="7"/>
    </i>
    <i r="1">
      <x v="8"/>
    </i>
    <i r="1">
      <x v="9"/>
    </i>
    <i t="default">
      <x v="5"/>
    </i>
    <i>
      <x v="6"/>
      <x v="9"/>
    </i>
    <i t="default">
      <x v="6"/>
    </i>
    <i>
      <x v="7"/>
      <x v="1"/>
    </i>
    <i r="1">
      <x v="9"/>
    </i>
    <i t="default">
      <x v="7"/>
    </i>
    <i>
      <x v="8"/>
      <x v="4"/>
    </i>
    <i t="default">
      <x v="8"/>
    </i>
    <i t="grand">
      <x/>
    </i>
  </rowItems>
  <colItems count="1">
    <i/>
  </colItems>
  <dataFields count="1">
    <dataField name="Sum of valor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useAutoFormatting="1" itemPrintTitles="1" createdVersion="7" indent="0" compact="0" compactData="0" gridDropZones="1" multipleFieldFilters="0">
  <location ref="J5:M26" firstHeaderRow="2" firstDataRow="2" firstDataCol="3"/>
  <pivotFields count="5">
    <pivotField axis="axisRow" compact="0" outline="0" showAll="0" defaultSubtotal="0">
      <items count="11">
        <item x="3"/>
        <item x="6"/>
        <item x="4"/>
        <item x="0"/>
        <item x="8"/>
        <item x="1"/>
        <item m="1" x="10"/>
        <item x="7"/>
        <item x="5"/>
        <item x="2"/>
        <item m="1" x="9"/>
      </items>
    </pivotField>
    <pivotField compact="0" outline="0" showAll="0"/>
    <pivotField dataField="1" compact="0" outline="0" showAll="0"/>
    <pivotField axis="axisRow" compact="0" outline="0" showAll="0" defaultSubtotal="0">
      <items count="10">
        <item x="3"/>
        <item x="8"/>
        <item x="6"/>
        <item x="4"/>
        <item x="2"/>
        <item x="1"/>
        <item x="0"/>
        <item x="7"/>
        <item x="5"/>
        <item x="9"/>
      </items>
    </pivotField>
    <pivotField axis="axisRow" compact="0" outline="0" showAll="0" defaultSubtotal="0">
      <items count="10">
        <item x="1"/>
        <item x="4"/>
        <item x="6"/>
        <item x="5"/>
        <item x="8"/>
        <item x="2"/>
        <item x="0"/>
        <item x="7"/>
        <item x="3"/>
        <item x="9"/>
      </items>
    </pivotField>
  </pivotFields>
  <rowFields count="3">
    <field x="3"/>
    <field x="0"/>
    <field x="4"/>
  </rowFields>
  <rowItems count="20">
    <i>
      <x/>
      <x v="3"/>
      <x v="8"/>
    </i>
    <i>
      <x v="1"/>
      <x v="8"/>
      <x v="4"/>
    </i>
    <i>
      <x v="2"/>
      <x v="3"/>
      <x v="2"/>
    </i>
    <i>
      <x v="3"/>
      <x/>
      <x v="1"/>
    </i>
    <i>
      <x v="4"/>
      <x v="1"/>
      <x v="5"/>
    </i>
    <i r="1">
      <x v="5"/>
      <x v="5"/>
    </i>
    <i r="1">
      <x v="9"/>
      <x v="5"/>
    </i>
    <i>
      <x v="5"/>
      <x v="5"/>
      <x/>
    </i>
    <i>
      <x v="6"/>
      <x v="3"/>
      <x v="6"/>
    </i>
    <i>
      <x v="7"/>
      <x v="2"/>
      <x v="7"/>
    </i>
    <i r="1">
      <x v="3"/>
      <x v="7"/>
    </i>
    <i r="1">
      <x v="5"/>
      <x v="7"/>
    </i>
    <i>
      <x v="8"/>
      <x v="5"/>
      <x v="3"/>
    </i>
    <i>
      <x v="9"/>
      <x v="1"/>
      <x v="9"/>
    </i>
    <i r="1">
      <x v="3"/>
      <x v="9"/>
    </i>
    <i r="1">
      <x v="4"/>
      <x v="9"/>
    </i>
    <i r="1">
      <x v="5"/>
      <x v="9"/>
    </i>
    <i r="1">
      <x v="7"/>
      <x v="9"/>
    </i>
    <i r="1">
      <x v="8"/>
      <x v="9"/>
    </i>
    <i t="grand">
      <x/>
    </i>
  </rowItems>
  <colItems count="1">
    <i/>
  </colItems>
  <dataFields count="1">
    <dataField name="Sum of Valor" fld="2" baseField="0" baseItem="0" numFmtId="170"/>
  </dataFields>
  <formats count="2">
    <format dxfId="5">
      <pivotArea outline="0" collapsedLevelsAreSubtotals="1" fieldPosition="0"/>
    </format>
    <format dxfId="4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ela1" displayName="Tabela1" ref="A2:F62" totalsRowShown="0" headerRowDxfId="14" dataDxfId="13">
  <autoFilter ref="A2:F62"/>
  <tableColumns count="6">
    <tableColumn id="1" name="emprestimo" dataDxfId="12"/>
    <tableColumn id="2" name="amortização" dataDxfId="11">
      <calculatedColumnFormula>+C3-D3</calculatedColumnFormula>
    </tableColumn>
    <tableColumn id="3" name="prestação" dataDxfId="10"/>
    <tableColumn id="4" name="juros" dataDxfId="9"/>
    <tableColumn id="5" name="capital em divida" dataDxfId="8"/>
    <tableColumn id="6" name="mês" dataDxfId="7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D57" totalsRowShown="0">
  <autoFilter ref="A1:D57"/>
  <tableColumns count="4">
    <tableColumn id="1" name="nome"/>
    <tableColumn id="2" name="valor" dataDxfId="6"/>
    <tableColumn id="3" name="rubrica"/>
    <tableColumn id="4" name="cc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C1:G60" totalsRowShown="0">
  <autoFilter ref="C1:G60">
    <filterColumn colId="1">
      <filters>
        <filter val="Apoio ao ensino básico e secundário (ver execucao)"/>
        <filter val="Apoio pre escolar (ver execucao)"/>
      </filters>
    </filterColumn>
  </autoFilter>
  <tableColumns count="5">
    <tableColumn id="1" name="Rubrica" dataDxfId="3"/>
    <tableColumn id="2" name="Nome" dataDxfId="2"/>
    <tableColumn id="3" name="Valor"/>
    <tableColumn id="4" name="CC"/>
    <tableColumn id="5" name="co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ivotTable" Target="../pivotTables/pivotTable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5.xml"/><Relationship Id="rId6" Type="http://schemas.openxmlformats.org/officeDocument/2006/relationships/comments" Target="../comments5.xml"/><Relationship Id="rId5" Type="http://schemas.openxmlformats.org/officeDocument/2006/relationships/table" Target="../tables/table3.xml"/><Relationship Id="rId4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A47" workbookViewId="0">
      <selection sqref="A1:Q62"/>
    </sheetView>
  </sheetViews>
  <sheetFormatPr defaultRowHeight="15" x14ac:dyDescent="0.25"/>
  <cols>
    <col min="1" max="1" width="12.140625" style="132" customWidth="1"/>
    <col min="2" max="2" width="13.85546875" style="132" customWidth="1"/>
    <col min="3" max="3" width="15.28515625" style="151" customWidth="1"/>
    <col min="4" max="4" width="16" style="151" customWidth="1"/>
    <col min="5" max="5" width="19.5703125" style="151" customWidth="1"/>
    <col min="6" max="6" width="7" style="132" customWidth="1"/>
    <col min="7" max="7" width="2.7109375" style="132" customWidth="1"/>
    <col min="8" max="8" width="8.85546875" style="132" hidden="1" customWidth="1"/>
    <col min="9" max="9" width="8" style="132" hidden="1" customWidth="1"/>
    <col min="10" max="10" width="12.28515625" style="132" hidden="1" customWidth="1"/>
    <col min="11" max="11" width="18.7109375" style="132" hidden="1" customWidth="1"/>
    <col min="12" max="12" width="5.28515625" style="132" hidden="1" customWidth="1"/>
    <col min="13" max="14" width="0" style="132" hidden="1" customWidth="1"/>
    <col min="15" max="15" width="10.7109375" style="132" customWidth="1"/>
    <col min="16" max="16" width="13.5703125" style="132" customWidth="1"/>
    <col min="17" max="17" width="20" style="132" bestFit="1" customWidth="1"/>
    <col min="18" max="16384" width="9.140625" style="132"/>
  </cols>
  <sheetData>
    <row r="1" spans="1:21" x14ac:dyDescent="0.25">
      <c r="A1" s="744" t="s">
        <v>1133</v>
      </c>
      <c r="B1" s="744"/>
      <c r="C1" s="744"/>
      <c r="D1" s="744"/>
      <c r="E1" s="744"/>
      <c r="F1" s="744"/>
    </row>
    <row r="2" spans="1:21" ht="15.75" thickBot="1" x14ac:dyDescent="0.3">
      <c r="A2" s="132" t="s">
        <v>1011</v>
      </c>
      <c r="B2" s="132" t="s">
        <v>1012</v>
      </c>
      <c r="C2" s="579" t="s">
        <v>1013</v>
      </c>
      <c r="D2" s="579" t="s">
        <v>1014</v>
      </c>
      <c r="E2" s="579" t="s">
        <v>1015</v>
      </c>
      <c r="F2" s="579" t="s">
        <v>988</v>
      </c>
    </row>
    <row r="3" spans="1:21" ht="15.75" thickBot="1" x14ac:dyDescent="0.3">
      <c r="A3" s="132" t="s">
        <v>1016</v>
      </c>
      <c r="B3" s="148">
        <f>+C3-D3</f>
        <v>623240</v>
      </c>
      <c r="C3" s="595">
        <v>777399</v>
      </c>
      <c r="D3" s="596">
        <v>154159</v>
      </c>
      <c r="E3" s="596">
        <v>33048964</v>
      </c>
      <c r="F3" s="597" t="s">
        <v>991</v>
      </c>
    </row>
    <row r="4" spans="1:21" ht="15.75" thickBot="1" x14ac:dyDescent="0.3">
      <c r="A4" s="132" t="s">
        <v>1016</v>
      </c>
      <c r="B4" s="148">
        <f t="shared" ref="B4:B14" si="0">+C4-D4</f>
        <v>626875</v>
      </c>
      <c r="C4" s="596">
        <v>777399</v>
      </c>
      <c r="D4" s="596">
        <v>150524</v>
      </c>
      <c r="E4" s="596">
        <v>32464351</v>
      </c>
      <c r="F4" s="597" t="s">
        <v>992</v>
      </c>
    </row>
    <row r="5" spans="1:21" ht="15.75" thickBot="1" x14ac:dyDescent="0.3">
      <c r="A5" s="132" t="s">
        <v>1016</v>
      </c>
      <c r="B5" s="148">
        <f t="shared" si="0"/>
        <v>630532</v>
      </c>
      <c r="C5" s="596">
        <v>777399</v>
      </c>
      <c r="D5" s="596">
        <v>146867</v>
      </c>
      <c r="E5" s="596">
        <v>31876327</v>
      </c>
      <c r="F5" s="597" t="s">
        <v>993</v>
      </c>
    </row>
    <row r="6" spans="1:21" ht="15.75" thickBot="1" x14ac:dyDescent="0.3">
      <c r="A6" s="132" t="s">
        <v>1016</v>
      </c>
      <c r="B6" s="148">
        <f t="shared" si="0"/>
        <v>634210</v>
      </c>
      <c r="C6" s="596">
        <v>777399</v>
      </c>
      <c r="D6" s="596">
        <v>143189</v>
      </c>
      <c r="E6" s="596">
        <v>31284873</v>
      </c>
      <c r="F6" s="598" t="s">
        <v>994</v>
      </c>
    </row>
    <row r="7" spans="1:21" ht="15.75" thickBot="1" x14ac:dyDescent="0.3">
      <c r="A7" s="132" t="s">
        <v>1016</v>
      </c>
      <c r="B7" s="148">
        <f t="shared" si="0"/>
        <v>637910</v>
      </c>
      <c r="C7" s="596">
        <v>777399</v>
      </c>
      <c r="D7" s="596">
        <v>139489</v>
      </c>
      <c r="E7" s="596">
        <v>30689969</v>
      </c>
      <c r="F7" s="597" t="s">
        <v>995</v>
      </c>
      <c r="H7" s="148">
        <f>+D3+D15+D27+D39+D51</f>
        <v>820347</v>
      </c>
      <c r="O7"/>
      <c r="P7" s="641" t="s">
        <v>987</v>
      </c>
      <c r="Q7"/>
      <c r="R7"/>
      <c r="S7"/>
      <c r="T7"/>
      <c r="U7"/>
    </row>
    <row r="8" spans="1:21" ht="15.75" thickBot="1" x14ac:dyDescent="0.3">
      <c r="A8" s="132" t="s">
        <v>1016</v>
      </c>
      <c r="B8" s="148">
        <f t="shared" si="0"/>
        <v>641631</v>
      </c>
      <c r="C8" s="596">
        <v>777399</v>
      </c>
      <c r="D8" s="596">
        <v>135768</v>
      </c>
      <c r="E8" s="596">
        <v>30091595</v>
      </c>
      <c r="F8" s="597" t="s">
        <v>996</v>
      </c>
      <c r="O8" s="641" t="s">
        <v>988</v>
      </c>
      <c r="P8" s="632" t="s">
        <v>989</v>
      </c>
      <c r="Q8" s="632" t="s">
        <v>990</v>
      </c>
      <c r="R8"/>
      <c r="S8"/>
      <c r="T8"/>
      <c r="U8"/>
    </row>
    <row r="9" spans="1:21" ht="15.75" thickBot="1" x14ac:dyDescent="0.3">
      <c r="A9" s="132" t="s">
        <v>1016</v>
      </c>
      <c r="B9" s="148">
        <f t="shared" si="0"/>
        <v>645374</v>
      </c>
      <c r="C9" s="596">
        <v>777399</v>
      </c>
      <c r="D9" s="596">
        <v>132025</v>
      </c>
      <c r="E9" s="596">
        <v>29489730</v>
      </c>
      <c r="F9" s="598" t="s">
        <v>997</v>
      </c>
      <c r="O9" s="632" t="s">
        <v>991</v>
      </c>
      <c r="P9" s="638">
        <v>820347</v>
      </c>
      <c r="Q9" s="638">
        <v>1896135</v>
      </c>
      <c r="R9"/>
      <c r="S9"/>
      <c r="T9"/>
      <c r="U9"/>
    </row>
    <row r="10" spans="1:21" ht="15.75" thickBot="1" x14ac:dyDescent="0.3">
      <c r="A10" s="132" t="s">
        <v>1016</v>
      </c>
      <c r="B10" s="148">
        <f t="shared" si="0"/>
        <v>649138</v>
      </c>
      <c r="C10" s="596">
        <v>777399</v>
      </c>
      <c r="D10" s="596">
        <v>128261</v>
      </c>
      <c r="E10" s="596">
        <v>28884354</v>
      </c>
      <c r="F10" s="597" t="s">
        <v>998</v>
      </c>
      <c r="O10" s="632" t="s">
        <v>992</v>
      </c>
      <c r="P10" s="638">
        <v>809827</v>
      </c>
      <c r="Q10" s="638">
        <v>1906655</v>
      </c>
      <c r="R10"/>
      <c r="S10"/>
      <c r="T10"/>
      <c r="U10"/>
    </row>
    <row r="11" spans="1:21" ht="15.75" thickBot="1" x14ac:dyDescent="0.3">
      <c r="A11" s="132" t="s">
        <v>1016</v>
      </c>
      <c r="B11" s="148">
        <f t="shared" si="0"/>
        <v>652925</v>
      </c>
      <c r="C11" s="596">
        <v>777399</v>
      </c>
      <c r="D11" s="596">
        <v>124474</v>
      </c>
      <c r="E11" s="596">
        <v>28275447</v>
      </c>
      <c r="F11" s="597" t="s">
        <v>999</v>
      </c>
      <c r="O11" s="632" t="s">
        <v>993</v>
      </c>
      <c r="P11" s="638">
        <v>799249</v>
      </c>
      <c r="Q11" s="638">
        <v>1917233</v>
      </c>
      <c r="R11"/>
      <c r="S11"/>
      <c r="T11"/>
      <c r="U11"/>
    </row>
    <row r="12" spans="1:21" ht="15.75" thickBot="1" x14ac:dyDescent="0.3">
      <c r="A12" s="132" t="s">
        <v>1016</v>
      </c>
      <c r="B12" s="148">
        <f t="shared" si="0"/>
        <v>656734</v>
      </c>
      <c r="C12" s="596">
        <v>777399</v>
      </c>
      <c r="D12" s="596">
        <v>120665</v>
      </c>
      <c r="E12" s="596">
        <v>27662988</v>
      </c>
      <c r="F12" s="598" t="s">
        <v>1000</v>
      </c>
      <c r="H12" s="148">
        <f>+C3-D3</f>
        <v>623240</v>
      </c>
      <c r="O12" s="632" t="s">
        <v>994</v>
      </c>
      <c r="P12" s="638">
        <v>788611</v>
      </c>
      <c r="Q12" s="638">
        <v>1927871</v>
      </c>
      <c r="R12"/>
      <c r="S12"/>
      <c r="T12"/>
      <c r="U12"/>
    </row>
    <row r="13" spans="1:21" ht="15.75" thickBot="1" x14ac:dyDescent="0.3">
      <c r="A13" s="132" t="s">
        <v>1016</v>
      </c>
      <c r="B13" s="148">
        <f t="shared" si="0"/>
        <v>660565</v>
      </c>
      <c r="C13" s="596">
        <v>777399</v>
      </c>
      <c r="D13" s="596">
        <v>116834</v>
      </c>
      <c r="E13" s="596">
        <v>27046956</v>
      </c>
      <c r="F13" s="597" t="s">
        <v>1001</v>
      </c>
      <c r="O13" s="632" t="s">
        <v>995</v>
      </c>
      <c r="P13" s="638">
        <v>777913</v>
      </c>
      <c r="Q13" s="638">
        <v>1938569</v>
      </c>
      <c r="R13"/>
      <c r="S13"/>
      <c r="T13"/>
      <c r="U13"/>
    </row>
    <row r="14" spans="1:21" ht="15.75" thickBot="1" x14ac:dyDescent="0.3">
      <c r="A14" s="132" t="s">
        <v>1016</v>
      </c>
      <c r="B14" s="148">
        <f t="shared" si="0"/>
        <v>664418</v>
      </c>
      <c r="C14" s="596">
        <v>777399</v>
      </c>
      <c r="D14" s="596">
        <v>112981</v>
      </c>
      <c r="E14" s="596">
        <v>26427331</v>
      </c>
      <c r="F14" s="597" t="s">
        <v>1002</v>
      </c>
      <c r="O14" s="632" t="s">
        <v>996</v>
      </c>
      <c r="P14" s="638">
        <v>767157</v>
      </c>
      <c r="Q14" s="638">
        <v>1949325</v>
      </c>
      <c r="R14"/>
      <c r="S14"/>
      <c r="T14"/>
      <c r="U14"/>
    </row>
    <row r="15" spans="1:21" ht="15.75" thickBot="1" x14ac:dyDescent="0.3">
      <c r="A15" s="599" t="s">
        <v>1017</v>
      </c>
      <c r="B15" s="147">
        <f>+C15-D15</f>
        <v>407965</v>
      </c>
      <c r="C15" s="600">
        <v>474957</v>
      </c>
      <c r="D15" s="601">
        <v>66992</v>
      </c>
      <c r="E15" s="601">
        <v>17983525</v>
      </c>
      <c r="F15" s="597" t="s">
        <v>991</v>
      </c>
      <c r="O15" s="632" t="s">
        <v>997</v>
      </c>
      <c r="P15" s="638">
        <v>756339</v>
      </c>
      <c r="Q15" s="638">
        <v>1960143</v>
      </c>
      <c r="R15"/>
      <c r="S15"/>
      <c r="T15"/>
      <c r="U15"/>
    </row>
    <row r="16" spans="1:21" ht="15.75" thickBot="1" x14ac:dyDescent="0.3">
      <c r="A16" s="597" t="s">
        <v>1017</v>
      </c>
      <c r="B16" s="148">
        <f t="shared" ref="B16:B25" si="1">+C16-D16</f>
        <v>409971</v>
      </c>
      <c r="C16" s="596">
        <v>474957</v>
      </c>
      <c r="D16" s="596">
        <v>64986</v>
      </c>
      <c r="E16" s="596">
        <v>17596987</v>
      </c>
      <c r="F16" s="597" t="s">
        <v>992</v>
      </c>
      <c r="O16" s="632" t="s">
        <v>998</v>
      </c>
      <c r="P16" s="638">
        <v>745463</v>
      </c>
      <c r="Q16" s="638">
        <v>1971019</v>
      </c>
      <c r="R16"/>
      <c r="S16"/>
      <c r="T16"/>
      <c r="U16"/>
    </row>
    <row r="17" spans="1:21" ht="15.75" thickBot="1" x14ac:dyDescent="0.3">
      <c r="A17" s="597" t="s">
        <v>1017</v>
      </c>
      <c r="B17" s="148">
        <f t="shared" si="1"/>
        <v>411986</v>
      </c>
      <c r="C17" s="596">
        <v>474957</v>
      </c>
      <c r="D17" s="596">
        <v>62971</v>
      </c>
      <c r="E17" s="596">
        <v>17208549</v>
      </c>
      <c r="F17" s="597" t="s">
        <v>993</v>
      </c>
      <c r="O17" s="632" t="s">
        <v>999</v>
      </c>
      <c r="P17" s="638">
        <v>734525</v>
      </c>
      <c r="Q17" s="638">
        <v>1981957</v>
      </c>
      <c r="R17"/>
      <c r="S17"/>
      <c r="T17"/>
      <c r="U17"/>
    </row>
    <row r="18" spans="1:21" ht="15.75" thickBot="1" x14ac:dyDescent="0.3">
      <c r="A18" s="597" t="s">
        <v>1017</v>
      </c>
      <c r="B18" s="148">
        <f t="shared" si="1"/>
        <v>414012</v>
      </c>
      <c r="C18" s="596">
        <v>474957</v>
      </c>
      <c r="D18" s="596">
        <v>60945</v>
      </c>
      <c r="E18" s="596">
        <v>16818201</v>
      </c>
      <c r="F18" s="598" t="s">
        <v>994</v>
      </c>
      <c r="O18" s="632" t="s">
        <v>1000</v>
      </c>
      <c r="P18" s="638">
        <v>723525</v>
      </c>
      <c r="Q18" s="638">
        <v>1992957</v>
      </c>
      <c r="R18"/>
      <c r="S18"/>
      <c r="T18"/>
      <c r="U18"/>
    </row>
    <row r="19" spans="1:21" ht="15.75" thickBot="1" x14ac:dyDescent="0.3">
      <c r="A19" s="597" t="s">
        <v>1017</v>
      </c>
      <c r="B19" s="148">
        <f t="shared" si="1"/>
        <v>416047</v>
      </c>
      <c r="C19" s="596">
        <v>474957</v>
      </c>
      <c r="D19" s="596">
        <v>58910</v>
      </c>
      <c r="E19" s="596">
        <v>16425934</v>
      </c>
      <c r="F19" s="597" t="s">
        <v>995</v>
      </c>
      <c r="O19" s="632" t="s">
        <v>1001</v>
      </c>
      <c r="P19" s="638">
        <v>712463</v>
      </c>
      <c r="Q19" s="638">
        <v>2004019</v>
      </c>
      <c r="R19"/>
      <c r="S19"/>
      <c r="T19"/>
      <c r="U19"/>
    </row>
    <row r="20" spans="1:21" ht="15.75" thickBot="1" x14ac:dyDescent="0.3">
      <c r="A20" s="597" t="s">
        <v>1017</v>
      </c>
      <c r="B20" s="148">
        <f t="shared" si="1"/>
        <v>418093</v>
      </c>
      <c r="C20" s="596">
        <v>474957</v>
      </c>
      <c r="D20" s="596">
        <v>56864</v>
      </c>
      <c r="E20" s="596">
        <v>16031738</v>
      </c>
      <c r="F20" s="597" t="s">
        <v>996</v>
      </c>
      <c r="O20" s="632" t="s">
        <v>1002</v>
      </c>
      <c r="P20" s="638">
        <v>701346</v>
      </c>
      <c r="Q20" s="638">
        <v>2015136</v>
      </c>
      <c r="R20"/>
      <c r="S20"/>
      <c r="T20"/>
      <c r="U20"/>
    </row>
    <row r="21" spans="1:21" ht="15.75" thickBot="1" x14ac:dyDescent="0.3">
      <c r="A21" s="597" t="s">
        <v>1017</v>
      </c>
      <c r="B21" s="148">
        <f t="shared" si="1"/>
        <v>420149</v>
      </c>
      <c r="C21" s="596">
        <v>474957</v>
      </c>
      <c r="D21" s="596">
        <v>54808</v>
      </c>
      <c r="E21" s="596">
        <v>15635604</v>
      </c>
      <c r="F21" s="598" t="s">
        <v>997</v>
      </c>
      <c r="O21" s="632" t="s">
        <v>8</v>
      </c>
      <c r="P21" s="638">
        <v>9136765</v>
      </c>
      <c r="Q21" s="638">
        <v>23461019</v>
      </c>
      <c r="R21"/>
      <c r="S21"/>
      <c r="T21"/>
      <c r="U21"/>
    </row>
    <row r="22" spans="1:21" ht="15.75" thickBot="1" x14ac:dyDescent="0.3">
      <c r="A22" s="597" t="s">
        <v>1017</v>
      </c>
      <c r="B22" s="148">
        <f t="shared" si="1"/>
        <v>422214</v>
      </c>
      <c r="C22" s="596">
        <v>474957</v>
      </c>
      <c r="D22" s="596">
        <v>52743</v>
      </c>
      <c r="E22" s="596">
        <v>15237522</v>
      </c>
      <c r="F22" s="597" t="s">
        <v>998</v>
      </c>
      <c r="O22"/>
      <c r="P22"/>
      <c r="Q22"/>
    </row>
    <row r="23" spans="1:21" ht="15.75" thickBot="1" x14ac:dyDescent="0.3">
      <c r="A23" s="597" t="s">
        <v>1017</v>
      </c>
      <c r="B23" s="148">
        <f t="shared" si="1"/>
        <v>424290</v>
      </c>
      <c r="C23" s="596">
        <v>474957</v>
      </c>
      <c r="D23" s="596">
        <v>50667</v>
      </c>
      <c r="E23" s="596">
        <v>14837483</v>
      </c>
      <c r="F23" s="597" t="s">
        <v>999</v>
      </c>
      <c r="O23"/>
      <c r="P23"/>
      <c r="Q23"/>
    </row>
    <row r="24" spans="1:21" ht="15.75" thickBot="1" x14ac:dyDescent="0.3">
      <c r="A24" s="597" t="s">
        <v>1017</v>
      </c>
      <c r="B24" s="148">
        <f t="shared" si="1"/>
        <v>426376</v>
      </c>
      <c r="C24" s="596">
        <v>474957</v>
      </c>
      <c r="D24" s="596">
        <v>48581</v>
      </c>
      <c r="E24" s="596">
        <v>14435477</v>
      </c>
      <c r="F24" s="598" t="s">
        <v>1000</v>
      </c>
      <c r="O24"/>
      <c r="P24"/>
      <c r="Q24"/>
    </row>
    <row r="25" spans="1:21" ht="15.75" thickBot="1" x14ac:dyDescent="0.3">
      <c r="A25" s="597" t="s">
        <v>1017</v>
      </c>
      <c r="B25" s="148">
        <f t="shared" si="1"/>
        <v>428473</v>
      </c>
      <c r="C25" s="596">
        <v>474957</v>
      </c>
      <c r="D25" s="596">
        <v>46484</v>
      </c>
      <c r="E25" s="596">
        <v>14031494</v>
      </c>
      <c r="F25" s="597" t="s">
        <v>1001</v>
      </c>
    </row>
    <row r="26" spans="1:21" ht="15.75" thickBot="1" x14ac:dyDescent="0.3">
      <c r="A26" s="597" t="s">
        <v>1017</v>
      </c>
      <c r="B26" s="148">
        <f>+C26-D26</f>
        <v>430579</v>
      </c>
      <c r="C26" s="596">
        <v>474957</v>
      </c>
      <c r="D26" s="596">
        <v>44378</v>
      </c>
      <c r="E26" s="596">
        <v>13625525</v>
      </c>
      <c r="F26" s="597" t="s">
        <v>1002</v>
      </c>
    </row>
    <row r="27" spans="1:21" ht="15.75" thickBot="1" x14ac:dyDescent="0.3">
      <c r="A27" s="602" t="s">
        <v>1018</v>
      </c>
      <c r="B27" s="147">
        <f>+C27-D27</f>
        <v>348480</v>
      </c>
      <c r="C27" s="600">
        <v>508592</v>
      </c>
      <c r="D27" s="601">
        <v>160112</v>
      </c>
      <c r="E27" s="601">
        <v>31150205</v>
      </c>
      <c r="F27" s="597" t="s">
        <v>991</v>
      </c>
    </row>
    <row r="28" spans="1:21" ht="15.75" thickBot="1" x14ac:dyDescent="0.3">
      <c r="A28" s="132" t="s">
        <v>1018</v>
      </c>
      <c r="B28" s="148">
        <f t="shared" ref="B28:B38" si="2">+C28-D28</f>
        <v>350513</v>
      </c>
      <c r="C28" s="603">
        <v>508592</v>
      </c>
      <c r="D28" s="603">
        <v>158079</v>
      </c>
      <c r="E28" s="603">
        <v>30823322</v>
      </c>
      <c r="F28" s="597" t="s">
        <v>992</v>
      </c>
    </row>
    <row r="29" spans="1:21" ht="15.75" thickBot="1" x14ac:dyDescent="0.3">
      <c r="A29" s="132" t="s">
        <v>1018</v>
      </c>
      <c r="B29" s="148">
        <f t="shared" si="2"/>
        <v>352558</v>
      </c>
      <c r="C29" s="603">
        <v>508592</v>
      </c>
      <c r="D29" s="603">
        <v>156034</v>
      </c>
      <c r="E29" s="603">
        <v>30494533</v>
      </c>
      <c r="F29" s="597" t="s">
        <v>993</v>
      </c>
    </row>
    <row r="30" spans="1:21" ht="15.75" thickBot="1" x14ac:dyDescent="0.3">
      <c r="A30" s="132" t="s">
        <v>1018</v>
      </c>
      <c r="B30" s="148">
        <f t="shared" si="2"/>
        <v>354614</v>
      </c>
      <c r="C30" s="603">
        <v>508592</v>
      </c>
      <c r="D30" s="603">
        <v>153978</v>
      </c>
      <c r="E30" s="603">
        <v>30163826</v>
      </c>
      <c r="F30" s="598" t="s">
        <v>994</v>
      </c>
    </row>
    <row r="31" spans="1:21" ht="15.75" thickBot="1" x14ac:dyDescent="0.3">
      <c r="A31" s="132" t="s">
        <v>1018</v>
      </c>
      <c r="B31" s="148">
        <f t="shared" si="2"/>
        <v>356683</v>
      </c>
      <c r="C31" s="603">
        <v>508592</v>
      </c>
      <c r="D31" s="603">
        <v>151909</v>
      </c>
      <c r="E31" s="603">
        <v>29831190</v>
      </c>
      <c r="F31" s="597" t="s">
        <v>995</v>
      </c>
    </row>
    <row r="32" spans="1:21" ht="15.75" thickBot="1" x14ac:dyDescent="0.3">
      <c r="A32" s="132" t="s">
        <v>1018</v>
      </c>
      <c r="B32" s="148">
        <f t="shared" si="2"/>
        <v>358763</v>
      </c>
      <c r="C32" s="596">
        <v>508592</v>
      </c>
      <c r="D32" s="596">
        <v>149829</v>
      </c>
      <c r="E32" s="596">
        <v>29496613</v>
      </c>
      <c r="F32" s="597" t="s">
        <v>996</v>
      </c>
    </row>
    <row r="33" spans="1:14" ht="15.75" thickBot="1" x14ac:dyDescent="0.3">
      <c r="A33" s="132" t="s">
        <v>1018</v>
      </c>
      <c r="B33" s="148">
        <f t="shared" si="2"/>
        <v>360856</v>
      </c>
      <c r="C33" s="596">
        <v>508592</v>
      </c>
      <c r="D33" s="596">
        <v>147736</v>
      </c>
      <c r="E33" s="596">
        <v>29160084</v>
      </c>
      <c r="F33" s="598" t="s">
        <v>997</v>
      </c>
    </row>
    <row r="34" spans="1:14" ht="15.75" thickBot="1" x14ac:dyDescent="0.3">
      <c r="A34" s="132" t="s">
        <v>1018</v>
      </c>
      <c r="B34" s="148">
        <f t="shared" si="2"/>
        <v>362961</v>
      </c>
      <c r="C34" s="596">
        <v>508592</v>
      </c>
      <c r="D34" s="596">
        <v>145631</v>
      </c>
      <c r="E34" s="596">
        <v>28821592</v>
      </c>
      <c r="F34" s="597" t="s">
        <v>998</v>
      </c>
    </row>
    <row r="35" spans="1:14" ht="15.75" thickBot="1" x14ac:dyDescent="0.3">
      <c r="A35" s="132" t="s">
        <v>1018</v>
      </c>
      <c r="B35" s="148">
        <f t="shared" si="2"/>
        <v>365078</v>
      </c>
      <c r="C35" s="596">
        <v>508592</v>
      </c>
      <c r="D35" s="596">
        <v>143514</v>
      </c>
      <c r="E35" s="596">
        <v>28481126</v>
      </c>
      <c r="F35" s="597" t="s">
        <v>999</v>
      </c>
    </row>
    <row r="36" spans="1:14" ht="15.75" thickBot="1" x14ac:dyDescent="0.3">
      <c r="A36" s="132" t="s">
        <v>1018</v>
      </c>
      <c r="B36" s="148">
        <f t="shared" si="2"/>
        <v>367208</v>
      </c>
      <c r="C36" s="596">
        <v>508592</v>
      </c>
      <c r="D36" s="596">
        <v>141384</v>
      </c>
      <c r="E36" s="596">
        <v>28138674</v>
      </c>
      <c r="F36" s="598" t="s">
        <v>1000</v>
      </c>
    </row>
    <row r="37" spans="1:14" ht="15.75" thickBot="1" x14ac:dyDescent="0.3">
      <c r="A37" s="132" t="s">
        <v>1018</v>
      </c>
      <c r="B37" s="148">
        <f t="shared" si="2"/>
        <v>369350</v>
      </c>
      <c r="C37" s="596">
        <v>508592</v>
      </c>
      <c r="D37" s="596">
        <v>139242</v>
      </c>
      <c r="E37" s="596">
        <v>27794224</v>
      </c>
      <c r="F37" s="597" t="s">
        <v>1001</v>
      </c>
    </row>
    <row r="38" spans="1:14" ht="15.75" thickBot="1" x14ac:dyDescent="0.3">
      <c r="A38" s="132" t="s">
        <v>1018</v>
      </c>
      <c r="B38" s="148">
        <f t="shared" si="2"/>
        <v>371505</v>
      </c>
      <c r="C38" s="596">
        <v>508592</v>
      </c>
      <c r="D38" s="596">
        <v>137087</v>
      </c>
      <c r="E38" s="596">
        <v>27447765</v>
      </c>
      <c r="F38" s="597" t="s">
        <v>1002</v>
      </c>
    </row>
    <row r="39" spans="1:14" ht="15.75" thickBot="1" x14ac:dyDescent="0.3">
      <c r="A39" s="599" t="s">
        <v>1019</v>
      </c>
      <c r="B39" s="147">
        <f>+C39-D39</f>
        <v>316497</v>
      </c>
      <c r="C39" s="600">
        <v>506964</v>
      </c>
      <c r="D39" s="601">
        <v>190467</v>
      </c>
      <c r="E39" s="601">
        <v>36014142</v>
      </c>
      <c r="F39" s="597" t="s">
        <v>991</v>
      </c>
    </row>
    <row r="40" spans="1:14" ht="15.75" thickBot="1" x14ac:dyDescent="0.3">
      <c r="A40" s="604" t="s">
        <v>1019</v>
      </c>
      <c r="B40" s="148">
        <f t="shared" ref="B40:B50" si="3">+C40-D40</f>
        <v>318343</v>
      </c>
      <c r="C40" s="596">
        <v>506964</v>
      </c>
      <c r="D40" s="596">
        <v>188621</v>
      </c>
      <c r="E40" s="596">
        <v>35717260</v>
      </c>
      <c r="F40" s="597" t="s">
        <v>992</v>
      </c>
    </row>
    <row r="41" spans="1:14" ht="15.75" thickBot="1" x14ac:dyDescent="0.3">
      <c r="A41" s="604" t="s">
        <v>1019</v>
      </c>
      <c r="B41" s="148">
        <f t="shared" si="3"/>
        <v>320200</v>
      </c>
      <c r="C41" s="596">
        <v>506964</v>
      </c>
      <c r="D41" s="596">
        <v>186764</v>
      </c>
      <c r="E41" s="596">
        <v>35418647</v>
      </c>
      <c r="F41" s="597" t="s">
        <v>993</v>
      </c>
    </row>
    <row r="42" spans="1:14" ht="15.75" thickBot="1" x14ac:dyDescent="0.3">
      <c r="A42" s="604" t="s">
        <v>1019</v>
      </c>
      <c r="B42" s="148">
        <f t="shared" si="3"/>
        <v>322068</v>
      </c>
      <c r="C42" s="596">
        <v>506964</v>
      </c>
      <c r="D42" s="596">
        <v>184896</v>
      </c>
      <c r="E42" s="596">
        <v>35118292</v>
      </c>
      <c r="F42" s="598" t="s">
        <v>994</v>
      </c>
    </row>
    <row r="43" spans="1:14" ht="15.75" thickBot="1" x14ac:dyDescent="0.3">
      <c r="A43" s="604" t="s">
        <v>1019</v>
      </c>
      <c r="B43" s="148">
        <f t="shared" si="3"/>
        <v>323947</v>
      </c>
      <c r="C43" s="596">
        <v>506964</v>
      </c>
      <c r="D43" s="596">
        <v>183017</v>
      </c>
      <c r="E43" s="596">
        <v>34816185</v>
      </c>
      <c r="F43" s="597" t="s">
        <v>995</v>
      </c>
    </row>
    <row r="44" spans="1:14" ht="15.75" thickBot="1" x14ac:dyDescent="0.3">
      <c r="A44" s="604" t="s">
        <v>1019</v>
      </c>
      <c r="B44" s="148">
        <f t="shared" si="3"/>
        <v>325836</v>
      </c>
      <c r="C44" s="596">
        <v>506964</v>
      </c>
      <c r="D44" s="596">
        <v>181128</v>
      </c>
      <c r="E44" s="596">
        <v>34512315</v>
      </c>
      <c r="F44" s="597" t="s">
        <v>996</v>
      </c>
    </row>
    <row r="45" spans="1:14" ht="15.75" thickBot="1" x14ac:dyDescent="0.3">
      <c r="A45" s="604" t="s">
        <v>1019</v>
      </c>
      <c r="B45" s="148">
        <f t="shared" si="3"/>
        <v>327737</v>
      </c>
      <c r="C45" s="596">
        <v>506964</v>
      </c>
      <c r="D45" s="596">
        <v>179227</v>
      </c>
      <c r="E45" s="596">
        <v>34206673</v>
      </c>
      <c r="F45" s="598" t="s">
        <v>997</v>
      </c>
    </row>
    <row r="46" spans="1:14" ht="15.75" thickBot="1" x14ac:dyDescent="0.3">
      <c r="A46" s="604" t="s">
        <v>1019</v>
      </c>
      <c r="B46" s="148">
        <f t="shared" si="3"/>
        <v>329649</v>
      </c>
      <c r="C46" s="596">
        <v>506964</v>
      </c>
      <c r="D46" s="596">
        <v>177315</v>
      </c>
      <c r="E46" s="596">
        <v>33899248</v>
      </c>
      <c r="F46" s="597" t="s">
        <v>998</v>
      </c>
    </row>
    <row r="47" spans="1:14" ht="15.75" thickBot="1" x14ac:dyDescent="0.3">
      <c r="A47" s="604" t="s">
        <v>1019</v>
      </c>
      <c r="B47" s="148">
        <f t="shared" si="3"/>
        <v>331572</v>
      </c>
      <c r="C47" s="596">
        <v>506964</v>
      </c>
      <c r="D47" s="596">
        <v>175392</v>
      </c>
      <c r="E47" s="596">
        <v>33590030</v>
      </c>
      <c r="F47" s="597" t="s">
        <v>999</v>
      </c>
    </row>
    <row r="48" spans="1:14" ht="18.75" customHeight="1" thickBot="1" x14ac:dyDescent="0.3">
      <c r="A48" s="604" t="s">
        <v>1019</v>
      </c>
      <c r="B48" s="148">
        <f t="shared" si="3"/>
        <v>333506</v>
      </c>
      <c r="C48" s="596">
        <v>506964</v>
      </c>
      <c r="D48" s="596">
        <v>173458</v>
      </c>
      <c r="E48" s="596">
        <v>33279008</v>
      </c>
      <c r="F48" s="598" t="s">
        <v>1000</v>
      </c>
      <c r="J48" s="605"/>
      <c r="K48" s="605"/>
      <c r="L48" s="605"/>
      <c r="M48" s="606"/>
      <c r="N48" s="606"/>
    </row>
    <row r="49" spans="1:14" ht="15.75" thickBot="1" x14ac:dyDescent="0.3">
      <c r="A49" s="604" t="s">
        <v>1019</v>
      </c>
      <c r="B49" s="148">
        <f t="shared" si="3"/>
        <v>335452</v>
      </c>
      <c r="C49" s="596">
        <v>506964</v>
      </c>
      <c r="D49" s="596">
        <v>171512</v>
      </c>
      <c r="E49" s="596">
        <v>32966171</v>
      </c>
      <c r="F49" s="597" t="s">
        <v>1001</v>
      </c>
      <c r="J49" s="605"/>
      <c r="K49" s="605"/>
      <c r="L49" s="605"/>
      <c r="M49" s="605"/>
      <c r="N49" s="605"/>
    </row>
    <row r="50" spans="1:14" ht="15.75" thickBot="1" x14ac:dyDescent="0.3">
      <c r="A50" s="604" t="s">
        <v>1019</v>
      </c>
      <c r="B50" s="148">
        <f t="shared" si="3"/>
        <v>337405</v>
      </c>
      <c r="C50" s="596">
        <v>506964</v>
      </c>
      <c r="D50" s="596">
        <v>169559</v>
      </c>
      <c r="E50" s="596">
        <v>32651510</v>
      </c>
      <c r="F50" s="597" t="s">
        <v>1002</v>
      </c>
      <c r="J50" s="605"/>
      <c r="K50" s="605"/>
      <c r="L50" s="605"/>
      <c r="M50" s="605"/>
      <c r="N50" s="605"/>
    </row>
    <row r="51" spans="1:14" ht="15.75" thickBot="1" x14ac:dyDescent="0.3">
      <c r="A51" s="602" t="s">
        <v>1020</v>
      </c>
      <c r="B51" s="147">
        <f>+C51-D51</f>
        <v>199953</v>
      </c>
      <c r="C51" s="601">
        <v>448570</v>
      </c>
      <c r="D51" s="601">
        <v>248617</v>
      </c>
      <c r="E51" s="601">
        <v>50771451</v>
      </c>
      <c r="F51" s="597" t="s">
        <v>991</v>
      </c>
      <c r="J51" s="605"/>
      <c r="K51" s="605"/>
      <c r="L51" s="605"/>
      <c r="M51" s="605"/>
      <c r="N51" s="605"/>
    </row>
    <row r="52" spans="1:14" ht="15.75" thickBot="1" x14ac:dyDescent="0.3">
      <c r="A52" s="132" t="s">
        <v>1020</v>
      </c>
      <c r="B52" s="148">
        <f t="shared" ref="B52:B61" si="4">+C52-D52</f>
        <v>200953</v>
      </c>
      <c r="C52" s="596">
        <v>448570</v>
      </c>
      <c r="D52" s="596">
        <v>247617</v>
      </c>
      <c r="E52" s="596">
        <v>50581252</v>
      </c>
      <c r="F52" s="597" t="s">
        <v>992</v>
      </c>
      <c r="H52" s="602"/>
      <c r="J52" s="605"/>
      <c r="K52" s="605"/>
      <c r="L52" s="605"/>
      <c r="M52" s="605"/>
      <c r="N52" s="605"/>
    </row>
    <row r="53" spans="1:14" ht="15.75" thickBot="1" x14ac:dyDescent="0.3">
      <c r="A53" s="132" t="s">
        <v>1020</v>
      </c>
      <c r="B53" s="148">
        <f t="shared" si="4"/>
        <v>201957</v>
      </c>
      <c r="C53" s="596">
        <v>448570</v>
      </c>
      <c r="D53" s="596">
        <v>246613</v>
      </c>
      <c r="E53" s="596">
        <v>50390102</v>
      </c>
      <c r="F53" s="597" t="s">
        <v>993</v>
      </c>
      <c r="J53" s="605"/>
      <c r="K53" s="605"/>
      <c r="L53" s="605"/>
      <c r="M53" s="605"/>
      <c r="N53" s="605"/>
    </row>
    <row r="54" spans="1:14" ht="15.75" thickBot="1" x14ac:dyDescent="0.3">
      <c r="A54" s="132" t="s">
        <v>1020</v>
      </c>
      <c r="B54" s="148">
        <f t="shared" si="4"/>
        <v>202967</v>
      </c>
      <c r="C54" s="596">
        <v>448570</v>
      </c>
      <c r="D54" s="596">
        <v>245603</v>
      </c>
      <c r="E54" s="596">
        <v>50197997</v>
      </c>
      <c r="F54" s="598" t="s">
        <v>994</v>
      </c>
      <c r="J54" s="605"/>
      <c r="K54" s="605"/>
      <c r="L54" s="605"/>
      <c r="M54" s="605"/>
      <c r="N54" s="605"/>
    </row>
    <row r="55" spans="1:14" ht="15.75" thickBot="1" x14ac:dyDescent="0.3">
      <c r="A55" s="132" t="s">
        <v>1020</v>
      </c>
      <c r="B55" s="148">
        <f t="shared" si="4"/>
        <v>203982</v>
      </c>
      <c r="C55" s="596">
        <v>448570</v>
      </c>
      <c r="D55" s="596">
        <v>244588</v>
      </c>
      <c r="E55" s="596">
        <v>50004931</v>
      </c>
      <c r="F55" s="597" t="s">
        <v>995</v>
      </c>
      <c r="J55" s="605"/>
      <c r="K55" s="605"/>
      <c r="L55" s="605"/>
      <c r="M55" s="605"/>
      <c r="N55" s="605"/>
    </row>
    <row r="56" spans="1:14" ht="15.75" thickBot="1" x14ac:dyDescent="0.3">
      <c r="A56" s="132" t="s">
        <v>1020</v>
      </c>
      <c r="B56" s="148">
        <f t="shared" si="4"/>
        <v>205002</v>
      </c>
      <c r="C56" s="596">
        <v>448570</v>
      </c>
      <c r="D56" s="596">
        <v>243568</v>
      </c>
      <c r="E56" s="596">
        <v>49810900</v>
      </c>
      <c r="F56" s="597" t="s">
        <v>996</v>
      </c>
      <c r="J56" s="605"/>
      <c r="K56" s="605"/>
      <c r="L56" s="605"/>
      <c r="M56" s="605"/>
      <c r="N56" s="605"/>
    </row>
    <row r="57" spans="1:14" ht="15.75" thickBot="1" x14ac:dyDescent="0.3">
      <c r="A57" s="132" t="s">
        <v>1020</v>
      </c>
      <c r="B57" s="148">
        <f t="shared" si="4"/>
        <v>206027</v>
      </c>
      <c r="C57" s="596">
        <v>448570</v>
      </c>
      <c r="D57" s="596">
        <v>242543</v>
      </c>
      <c r="E57" s="596">
        <v>49615899</v>
      </c>
      <c r="F57" s="598" t="s">
        <v>997</v>
      </c>
      <c r="J57" s="605"/>
      <c r="K57" s="605"/>
      <c r="L57" s="605"/>
      <c r="M57" s="605"/>
      <c r="N57" s="605"/>
    </row>
    <row r="58" spans="1:14" ht="15.75" thickBot="1" x14ac:dyDescent="0.3">
      <c r="A58" s="132" t="s">
        <v>1020</v>
      </c>
      <c r="B58" s="148">
        <f t="shared" si="4"/>
        <v>207057</v>
      </c>
      <c r="C58" s="596">
        <v>448570</v>
      </c>
      <c r="D58" s="596">
        <v>241513</v>
      </c>
      <c r="E58" s="596">
        <v>49419923</v>
      </c>
      <c r="F58" s="597" t="s">
        <v>998</v>
      </c>
      <c r="J58" s="605"/>
      <c r="K58" s="605"/>
      <c r="L58" s="605"/>
      <c r="M58" s="605"/>
      <c r="N58" s="605"/>
    </row>
    <row r="59" spans="1:14" ht="15.75" thickBot="1" x14ac:dyDescent="0.3">
      <c r="A59" s="132" t="s">
        <v>1020</v>
      </c>
      <c r="B59" s="148">
        <f t="shared" si="4"/>
        <v>208092</v>
      </c>
      <c r="C59" s="596">
        <v>448570</v>
      </c>
      <c r="D59" s="596">
        <v>240478</v>
      </c>
      <c r="E59" s="596">
        <v>49222967</v>
      </c>
      <c r="F59" s="597" t="s">
        <v>999</v>
      </c>
      <c r="J59" s="605"/>
      <c r="K59" s="605"/>
      <c r="L59" s="605"/>
      <c r="M59" s="606"/>
      <c r="N59" s="606"/>
    </row>
    <row r="60" spans="1:14" ht="15.75" thickBot="1" x14ac:dyDescent="0.3">
      <c r="A60" s="132" t="s">
        <v>1020</v>
      </c>
      <c r="B60" s="148">
        <f t="shared" si="4"/>
        <v>209133</v>
      </c>
      <c r="C60" s="596">
        <v>448570</v>
      </c>
      <c r="D60" s="596">
        <v>239437</v>
      </c>
      <c r="E60" s="596">
        <v>49025026</v>
      </c>
      <c r="F60" s="598" t="s">
        <v>1000</v>
      </c>
    </row>
    <row r="61" spans="1:14" ht="15.75" thickBot="1" x14ac:dyDescent="0.3">
      <c r="A61" s="132" t="s">
        <v>1020</v>
      </c>
      <c r="B61" s="148">
        <f t="shared" si="4"/>
        <v>210179</v>
      </c>
      <c r="C61" s="596">
        <v>448570</v>
      </c>
      <c r="D61" s="596">
        <v>238391</v>
      </c>
      <c r="E61" s="596">
        <v>48826095</v>
      </c>
      <c r="F61" s="597" t="s">
        <v>1001</v>
      </c>
    </row>
    <row r="62" spans="1:14" x14ac:dyDescent="0.25">
      <c r="A62" s="132" t="s">
        <v>1020</v>
      </c>
      <c r="B62" s="148">
        <f>+C62-D62</f>
        <v>211229</v>
      </c>
      <c r="C62" s="596">
        <v>448570</v>
      </c>
      <c r="D62" s="596">
        <v>237341</v>
      </c>
      <c r="E62" s="596">
        <v>48626169</v>
      </c>
      <c r="F62" s="597" t="s">
        <v>1002</v>
      </c>
    </row>
    <row r="63" spans="1:14" x14ac:dyDescent="0.25">
      <c r="A63" s="602"/>
      <c r="B63" s="148"/>
      <c r="E63" s="579"/>
      <c r="F63" s="579"/>
    </row>
    <row r="64" spans="1:14" x14ac:dyDescent="0.25">
      <c r="A64" s="602"/>
      <c r="B64" s="148"/>
      <c r="E64" s="579"/>
      <c r="F64" s="579"/>
    </row>
    <row r="65" spans="1:6" x14ac:dyDescent="0.25">
      <c r="A65" s="602"/>
      <c r="B65" s="148"/>
      <c r="E65" s="579"/>
      <c r="F65" s="579"/>
    </row>
    <row r="66" spans="1:6" x14ac:dyDescent="0.25">
      <c r="B66" s="148"/>
      <c r="D66" s="579"/>
      <c r="E66" s="579"/>
      <c r="F66" s="579"/>
    </row>
    <row r="67" spans="1:6" x14ac:dyDescent="0.25">
      <c r="B67" s="148"/>
      <c r="D67" s="579"/>
      <c r="E67" s="579"/>
      <c r="F67" s="579"/>
    </row>
    <row r="68" spans="1:6" x14ac:dyDescent="0.25">
      <c r="B68" s="148"/>
      <c r="D68" s="579"/>
      <c r="E68" s="579"/>
      <c r="F68" s="579"/>
    </row>
    <row r="69" spans="1:6" x14ac:dyDescent="0.25">
      <c r="B69" s="148"/>
      <c r="D69" s="579"/>
      <c r="E69" s="579"/>
      <c r="F69" s="579"/>
    </row>
    <row r="70" spans="1:6" x14ac:dyDescent="0.25">
      <c r="B70" s="148"/>
      <c r="D70" s="579"/>
      <c r="E70" s="579"/>
      <c r="F70" s="579"/>
    </row>
    <row r="71" spans="1:6" x14ac:dyDescent="0.25">
      <c r="B71" s="148"/>
      <c r="D71" s="579"/>
      <c r="E71" s="579"/>
      <c r="F71" s="579"/>
    </row>
    <row r="72" spans="1:6" x14ac:dyDescent="0.25">
      <c r="B72" s="148"/>
      <c r="D72" s="579"/>
      <c r="E72" s="579"/>
      <c r="F72" s="579"/>
    </row>
    <row r="73" spans="1:6" x14ac:dyDescent="0.25">
      <c r="B73" s="148"/>
      <c r="D73" s="579"/>
      <c r="E73" s="579"/>
      <c r="F73" s="579"/>
    </row>
    <row r="74" spans="1:6" x14ac:dyDescent="0.25">
      <c r="D74" s="579"/>
      <c r="E74" s="579"/>
    </row>
    <row r="75" spans="1:6" x14ac:dyDescent="0.25">
      <c r="D75" s="579"/>
      <c r="E75" s="579"/>
    </row>
    <row r="76" spans="1:6" x14ac:dyDescent="0.25">
      <c r="D76" s="579"/>
      <c r="E76" s="579"/>
    </row>
    <row r="77" spans="1:6" x14ac:dyDescent="0.25">
      <c r="D77" s="579"/>
      <c r="E77" s="579"/>
    </row>
  </sheetData>
  <mergeCells count="1">
    <mergeCell ref="A1:F1"/>
  </mergeCells>
  <pageMargins left="0.78740157480314965" right="0" top="0.74803149606299213" bottom="0.74803149606299213" header="0.31496062992125984" footer="0.31496062992125984"/>
  <pageSetup paperSize="9" orientation="landscape"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B1" workbookViewId="0">
      <selection activeCell="I1" sqref="I1:K33"/>
    </sheetView>
  </sheetViews>
  <sheetFormatPr defaultRowHeight="15" x14ac:dyDescent="0.25"/>
  <cols>
    <col min="1" max="1" width="41.28515625" customWidth="1"/>
    <col min="2" max="2" width="13.85546875" style="636" bestFit="1" customWidth="1"/>
    <col min="3" max="3" width="9.28515625" customWidth="1"/>
    <col min="4" max="4" width="23.42578125" customWidth="1"/>
    <col min="7" max="7" width="12" customWidth="1"/>
    <col min="9" max="9" width="19.28515625" bestFit="1" customWidth="1"/>
    <col min="10" max="10" width="49.42578125" bestFit="1" customWidth="1"/>
    <col min="11" max="12" width="10" bestFit="1" customWidth="1"/>
  </cols>
  <sheetData>
    <row r="1" spans="1:11" x14ac:dyDescent="0.25">
      <c r="A1" t="s">
        <v>1034</v>
      </c>
      <c r="B1" s="636" t="s">
        <v>1035</v>
      </c>
      <c r="C1" t="s">
        <v>1036</v>
      </c>
      <c r="D1" t="s">
        <v>428</v>
      </c>
    </row>
    <row r="2" spans="1:11" x14ac:dyDescent="0.25">
      <c r="A2" t="s">
        <v>842</v>
      </c>
      <c r="B2" s="636">
        <v>500000</v>
      </c>
      <c r="C2" t="s">
        <v>451</v>
      </c>
      <c r="D2" t="str">
        <f>+INDEX('inv rubricas'!F:F,MATCH(Sheet1!A2,'inv rubricas'!D:D,0),1)</f>
        <v>Direção da Educação, Formação Profissional, Emprego</v>
      </c>
      <c r="G2">
        <f>MATCH(Table3[[#This Row],[nome]],MapaIII!C:C,0)</f>
        <v>25</v>
      </c>
      <c r="I2" s="641" t="s">
        <v>1037</v>
      </c>
    </row>
    <row r="3" spans="1:11" x14ac:dyDescent="0.25">
      <c r="A3" t="s">
        <v>752</v>
      </c>
      <c r="B3" s="636">
        <v>1100000</v>
      </c>
      <c r="C3" t="s">
        <v>471</v>
      </c>
      <c r="D3" t="str">
        <f>+INDEX('inv rubricas'!F:F,MATCH(Sheet1!A3,'inv rubricas'!D:D,0),1)</f>
        <v xml:space="preserve">Dir.Ambiente e Saneamento </v>
      </c>
      <c r="G3">
        <f>MATCH(Table3[[#This Row],[nome]],MapaIII!C:C,0)</f>
        <v>58</v>
      </c>
      <c r="I3" s="641" t="s">
        <v>1036</v>
      </c>
      <c r="J3" s="641" t="s">
        <v>428</v>
      </c>
      <c r="K3" t="s">
        <v>429</v>
      </c>
    </row>
    <row r="4" spans="1:11" x14ac:dyDescent="0.25">
      <c r="A4" t="s">
        <v>850</v>
      </c>
      <c r="B4" s="636">
        <v>2000000</v>
      </c>
      <c r="C4" t="s">
        <v>502</v>
      </c>
      <c r="D4" t="str">
        <f>+INDEX('inv rubricas'!F:F,MATCH(Sheet1!A4,'inv rubricas'!D:D,0),1)</f>
        <v>Dir. Turismo, Investimento e Emprendedorismo</v>
      </c>
      <c r="G4">
        <f>MATCH(Table3[[#This Row],[nome]],MapaIII!C:C,0)</f>
        <v>27</v>
      </c>
      <c r="I4" s="632" t="s">
        <v>434</v>
      </c>
      <c r="J4" s="632" t="s">
        <v>403</v>
      </c>
      <c r="K4" s="638">
        <v>100000</v>
      </c>
    </row>
    <row r="5" spans="1:11" x14ac:dyDescent="0.25">
      <c r="A5" t="s">
        <v>1026</v>
      </c>
      <c r="B5" s="636">
        <v>1200000</v>
      </c>
      <c r="C5" t="s">
        <v>451</v>
      </c>
      <c r="D5" t="s">
        <v>412</v>
      </c>
      <c r="G5">
        <f>MATCH(Table3[[#This Row],[nome]],MapaIII!C:C,0)</f>
        <v>29</v>
      </c>
      <c r="I5" s="632" t="s">
        <v>1038</v>
      </c>
      <c r="J5" s="632"/>
      <c r="K5" s="638">
        <v>100000</v>
      </c>
    </row>
    <row r="6" spans="1:11" x14ac:dyDescent="0.25">
      <c r="A6" t="s">
        <v>857</v>
      </c>
      <c r="B6" s="636">
        <v>100000</v>
      </c>
      <c r="C6" t="s">
        <v>434</v>
      </c>
      <c r="D6" t="str">
        <f>+INDEX('inv rubricas'!F:F,MATCH(Sheet1!A6,'inv rubricas'!D:D,0),1)</f>
        <v>Dir. Proteção Civil</v>
      </c>
      <c r="G6">
        <f>MATCH(Table3[[#This Row],[nome]],MapaIII!C:C,0)</f>
        <v>21</v>
      </c>
      <c r="I6" s="632" t="s">
        <v>439</v>
      </c>
      <c r="J6" s="632" t="s">
        <v>407</v>
      </c>
      <c r="K6" s="638">
        <v>2000000</v>
      </c>
    </row>
    <row r="7" spans="1:11" x14ac:dyDescent="0.25">
      <c r="A7" t="s">
        <v>1048</v>
      </c>
      <c r="B7" s="636">
        <v>100000</v>
      </c>
      <c r="C7" t="s">
        <v>451</v>
      </c>
      <c r="D7" t="str">
        <f>+INDEX('inv rubricas'!F:F,MATCH(Sheet1!A7,'inv rubricas'!D:D,0),1)</f>
        <v>Direção da Educação, Formação Profissional, Emprego</v>
      </c>
      <c r="G7">
        <f>MATCH(Table3[[#This Row],[nome]],MapaIII!C:C,0)</f>
        <v>76</v>
      </c>
      <c r="J7" s="632" t="s">
        <v>421</v>
      </c>
      <c r="K7" s="638">
        <v>3500000</v>
      </c>
    </row>
    <row r="8" spans="1:11" x14ac:dyDescent="0.25">
      <c r="A8" t="s">
        <v>777</v>
      </c>
      <c r="B8" s="636">
        <v>1000000</v>
      </c>
      <c r="C8" t="s">
        <v>451</v>
      </c>
      <c r="D8" t="str">
        <f>+INDEX('inv rubricas'!F:F,MATCH(Sheet1!A8,'inv rubricas'!D:D,0),1)</f>
        <v>Direção da Educação, Formação Profissional, Emprego</v>
      </c>
      <c r="G8">
        <f>MATCH(Table3[[#This Row],[nome]],MapaIII!C:C,0)</f>
        <v>77</v>
      </c>
      <c r="I8" s="632" t="s">
        <v>1039</v>
      </c>
      <c r="J8" s="632"/>
      <c r="K8" s="638">
        <v>5500000</v>
      </c>
    </row>
    <row r="9" spans="1:11" x14ac:dyDescent="0.25">
      <c r="A9" t="s">
        <v>781</v>
      </c>
      <c r="B9" s="636">
        <v>3500000</v>
      </c>
      <c r="C9" t="s">
        <v>451</v>
      </c>
      <c r="D9" t="str">
        <f>+INDEX('inv rubricas'!F:F,MATCH(Sheet1!A9,'inv rubricas'!D:D,0),1)</f>
        <v>Direção da Educação, Formação Profissional, Emprego</v>
      </c>
      <c r="G9">
        <f>MATCH(Table3[[#This Row],[nome]],MapaIII!C:C,0)</f>
        <v>78</v>
      </c>
      <c r="I9" s="632" t="s">
        <v>446</v>
      </c>
      <c r="J9" s="632" t="s">
        <v>410</v>
      </c>
      <c r="K9" s="638">
        <v>2800000</v>
      </c>
    </row>
    <row r="10" spans="1:11" x14ac:dyDescent="0.25">
      <c r="A10" t="s">
        <v>779</v>
      </c>
      <c r="B10" s="636">
        <v>300000</v>
      </c>
      <c r="C10" t="s">
        <v>451</v>
      </c>
      <c r="D10" t="str">
        <f>+INDEX('inv rubricas'!F:F,MATCH(Sheet1!A10,'inv rubricas'!D:D,0),1)</f>
        <v>Direção da Educação, Formação Profissional, Emprego</v>
      </c>
      <c r="G10">
        <f>MATCH(Table3[[#This Row],[nome]],MapaIII!C:C,0)</f>
        <v>75</v>
      </c>
      <c r="I10" s="632" t="s">
        <v>1040</v>
      </c>
      <c r="J10" s="632"/>
      <c r="K10" s="638">
        <v>2800000</v>
      </c>
    </row>
    <row r="11" spans="1:11" x14ac:dyDescent="0.25">
      <c r="A11" t="s">
        <v>1033</v>
      </c>
      <c r="B11" s="636">
        <v>1150000</v>
      </c>
      <c r="C11" t="s">
        <v>471</v>
      </c>
      <c r="D11" t="str">
        <f>+INDEX('inv rubricas'!F:F,MATCH(Sheet1!A11,'inv rubricas'!D:D,0),1)</f>
        <v>Direção de Inovação e Desporto</v>
      </c>
      <c r="G11">
        <f>MATCH(Table3[[#This Row],[nome]],MapaIII!C:C,0)</f>
        <v>68</v>
      </c>
      <c r="I11" s="632" t="s">
        <v>451</v>
      </c>
      <c r="J11" s="632" t="s">
        <v>412</v>
      </c>
      <c r="K11" s="638">
        <v>1200000</v>
      </c>
    </row>
    <row r="12" spans="1:11" x14ac:dyDescent="0.25">
      <c r="A12" t="s">
        <v>866</v>
      </c>
      <c r="B12" s="636">
        <v>3205000</v>
      </c>
      <c r="C12" t="s">
        <v>471</v>
      </c>
      <c r="D12" t="str">
        <f>+INDEX('inv rubricas'!F:F,MATCH(Sheet1!A12,'inv rubricas'!D:D,0),1)</f>
        <v>Direção de Inovação e Desporto</v>
      </c>
      <c r="G12">
        <f>MATCH(Table3[[#This Row],[nome]],MapaIII!C:C,0)</f>
        <v>42</v>
      </c>
      <c r="J12" s="632" t="s">
        <v>404</v>
      </c>
      <c r="K12" s="638">
        <v>4000000</v>
      </c>
    </row>
    <row r="13" spans="1:11" x14ac:dyDescent="0.25">
      <c r="A13" t="s">
        <v>1027</v>
      </c>
      <c r="B13" s="636">
        <v>2000000</v>
      </c>
      <c r="C13" t="s">
        <v>471</v>
      </c>
      <c r="D13" t="s">
        <v>405</v>
      </c>
      <c r="G13">
        <f>MATCH(Table3[[#This Row],[nome]],MapaIII!C:C,0)</f>
        <v>43</v>
      </c>
      <c r="J13" s="632" t="s">
        <v>409</v>
      </c>
      <c r="K13" s="638">
        <v>6900000</v>
      </c>
    </row>
    <row r="14" spans="1:11" x14ac:dyDescent="0.25">
      <c r="A14" t="s">
        <v>871</v>
      </c>
      <c r="B14" s="636">
        <v>1100000</v>
      </c>
      <c r="C14" t="s">
        <v>451</v>
      </c>
      <c r="D14" t="str">
        <f>+INDEX('inv rubricas'!F:F,MATCH(Sheet1!A14,'inv rubricas'!D:D,0),1)</f>
        <v>Direção da Educação, Formação Profissional, Emprego</v>
      </c>
      <c r="G14">
        <f>MATCH(Table3[[#This Row],[nome]],MapaIII!C:C,0)</f>
        <v>24</v>
      </c>
      <c r="J14" s="632" t="s">
        <v>410</v>
      </c>
      <c r="K14" s="638">
        <v>1200000</v>
      </c>
    </row>
    <row r="15" spans="1:11" x14ac:dyDescent="0.25">
      <c r="A15" t="s">
        <v>872</v>
      </c>
      <c r="B15" s="636">
        <v>400000</v>
      </c>
      <c r="C15" t="s">
        <v>451</v>
      </c>
      <c r="D15" t="str">
        <f>+INDEX('inv rubricas'!F:F,MATCH(Sheet1!A15,'inv rubricas'!D:D,0),1)</f>
        <v>Direção da Educação, Formação Profissional, Emprego</v>
      </c>
      <c r="G15">
        <f>MATCH(Table3[[#This Row],[nome]],MapaIII!C:C,0)</f>
        <v>23</v>
      </c>
      <c r="J15" s="632" t="s">
        <v>421</v>
      </c>
      <c r="K15" s="638">
        <v>20000000</v>
      </c>
    </row>
    <row r="16" spans="1:11" x14ac:dyDescent="0.25">
      <c r="A16" t="s">
        <v>773</v>
      </c>
      <c r="B16" s="636">
        <v>4000000</v>
      </c>
      <c r="C16" t="s">
        <v>451</v>
      </c>
      <c r="D16" t="str">
        <f>+INDEX('inv rubricas'!F:F,MATCH(Sheet1!A16,'inv rubricas'!D:D,0),1)</f>
        <v xml:space="preserve">Dir. Juventude e Cultura </v>
      </c>
      <c r="G16">
        <f>MATCH(Table3[[#This Row],[nome]],MapaIII!C:C,0)</f>
        <v>73</v>
      </c>
      <c r="I16" s="632" t="s">
        <v>1041</v>
      </c>
      <c r="J16" s="632"/>
      <c r="K16" s="638">
        <v>33300000</v>
      </c>
    </row>
    <row r="17" spans="1:11" x14ac:dyDescent="0.25">
      <c r="A17" t="s">
        <v>877</v>
      </c>
      <c r="B17" s="636">
        <v>300000</v>
      </c>
      <c r="C17" t="s">
        <v>446</v>
      </c>
      <c r="D17" t="str">
        <f>+INDEX('inv rubricas'!F:F,MATCH(Sheet1!A17,'inv rubricas'!D:D,0),1)</f>
        <v>Direcao da Familia, Inclusão, Genero e Saúde</v>
      </c>
      <c r="G17">
        <f>MATCH(Table3[[#This Row],[nome]],MapaIII!C:C,0)</f>
        <v>71</v>
      </c>
      <c r="I17" s="632" t="s">
        <v>466</v>
      </c>
      <c r="J17" s="632" t="s">
        <v>421</v>
      </c>
      <c r="K17" s="638">
        <v>1500000</v>
      </c>
    </row>
    <row r="18" spans="1:11" x14ac:dyDescent="0.25">
      <c r="A18" t="s">
        <v>878</v>
      </c>
      <c r="B18" s="636">
        <v>2500000</v>
      </c>
      <c r="C18" t="s">
        <v>446</v>
      </c>
      <c r="D18" t="str">
        <f>+INDEX('inv rubricas'!F:F,MATCH(Sheet1!A18,'inv rubricas'!D:D,0),1)</f>
        <v>Direcao da Familia, Inclusão, Genero e Saúde</v>
      </c>
      <c r="G18">
        <f>MATCH(Table3[[#This Row],[nome]],MapaIII!C:C,0)</f>
        <v>81</v>
      </c>
      <c r="I18" s="632" t="s">
        <v>1042</v>
      </c>
      <c r="J18" s="632"/>
      <c r="K18" s="638">
        <v>1500000</v>
      </c>
    </row>
    <row r="19" spans="1:11" x14ac:dyDescent="0.25">
      <c r="A19" t="s">
        <v>880</v>
      </c>
      <c r="B19" s="636">
        <v>1000000</v>
      </c>
      <c r="C19" t="s">
        <v>487</v>
      </c>
      <c r="D19" t="str">
        <f>+INDEX('inv rubricas'!F:F,MATCH(Sheet1!A19,'inv rubricas'!D:D,0),1)</f>
        <v>Dir. do Comércio, Indústria, Transporte Feiras e Pesca</v>
      </c>
      <c r="G19">
        <f>MATCH(Table3[[#This Row],[nome]],MapaIII!C:C,0)</f>
        <v>26</v>
      </c>
      <c r="I19" s="632" t="s">
        <v>471</v>
      </c>
      <c r="J19" s="632" t="s">
        <v>407</v>
      </c>
      <c r="K19" s="638">
        <v>1700000</v>
      </c>
    </row>
    <row r="20" spans="1:11" x14ac:dyDescent="0.25">
      <c r="A20" t="s">
        <v>883</v>
      </c>
      <c r="B20" s="636">
        <v>1700000</v>
      </c>
      <c r="C20" t="s">
        <v>471</v>
      </c>
      <c r="D20" t="str">
        <f>+INDEX('inv rubricas'!F:F,MATCH(Sheet1!A20,'inv rubricas'!D:D,0),1)</f>
        <v>Dir. Turismo, Investimento e Emprendedorismo</v>
      </c>
      <c r="G20">
        <f>MATCH(Table3[[#This Row],[nome]],MapaIII!C:C,0)</f>
        <v>28</v>
      </c>
      <c r="J20" s="632" t="s">
        <v>402</v>
      </c>
      <c r="K20" s="638">
        <v>1100000</v>
      </c>
    </row>
    <row r="21" spans="1:11" x14ac:dyDescent="0.25">
      <c r="A21" t="s">
        <v>754</v>
      </c>
      <c r="B21" s="636">
        <v>2000000</v>
      </c>
      <c r="C21" t="s">
        <v>439</v>
      </c>
      <c r="D21" t="str">
        <f>+INDEX('inv rubricas'!F:F,MATCH(Sheet1!A21,'inv rubricas'!D:D,0),1)</f>
        <v>Dir. Turismo, Investimento e Emprendedorismo</v>
      </c>
      <c r="G21">
        <f>MATCH(Table3[[#This Row],[nome]],MapaIII!C:C,0)</f>
        <v>60</v>
      </c>
      <c r="J21" s="632" t="s">
        <v>410</v>
      </c>
      <c r="K21" s="638">
        <v>14500000</v>
      </c>
    </row>
    <row r="22" spans="1:11" x14ac:dyDescent="0.25">
      <c r="A22" t="s">
        <v>735</v>
      </c>
      <c r="B22" s="636">
        <v>3000000</v>
      </c>
      <c r="C22" t="s">
        <v>471</v>
      </c>
      <c r="D22" t="str">
        <f>+INDEX('inv rubricas'!F:F,MATCH(Sheet1!A22,'inv rubricas'!D:D,0),1)</f>
        <v>Direção de Obras</v>
      </c>
      <c r="G22">
        <f>MATCH(Table3[[#This Row],[nome]],MapaIII!C:C,0)</f>
        <v>30</v>
      </c>
      <c r="J22" s="632" t="s">
        <v>405</v>
      </c>
      <c r="K22" s="638">
        <v>6355000</v>
      </c>
    </row>
    <row r="23" spans="1:11" x14ac:dyDescent="0.25">
      <c r="A23" t="s">
        <v>889</v>
      </c>
      <c r="B23" s="636">
        <v>5000000</v>
      </c>
      <c r="C23" t="s">
        <v>471</v>
      </c>
      <c r="D23" t="str">
        <f>+INDEX('inv rubricas'!F:F,MATCH(Sheet1!A23,'inv rubricas'!D:D,0),1)</f>
        <v>Direção de Obras</v>
      </c>
      <c r="G23">
        <f>MATCH(Table3[[#This Row],[nome]],MapaIII!C:C,0)</f>
        <v>31</v>
      </c>
      <c r="J23" s="632" t="s">
        <v>421</v>
      </c>
      <c r="K23" s="638">
        <v>157200000</v>
      </c>
    </row>
    <row r="24" spans="1:11" x14ac:dyDescent="0.25">
      <c r="A24" t="s">
        <v>761</v>
      </c>
      <c r="B24" s="636">
        <v>1000000</v>
      </c>
      <c r="C24" t="s">
        <v>487</v>
      </c>
      <c r="D24" t="str">
        <f>+INDEX('inv rubricas'!F:F,MATCH(Sheet1!A24,'inv rubricas'!D:D,0),1)</f>
        <v>Direção de Obras</v>
      </c>
      <c r="G24">
        <f>MATCH(Table3[[#This Row],[nome]],MapaIII!C:C,0)</f>
        <v>65</v>
      </c>
      <c r="I24" s="632" t="s">
        <v>1043</v>
      </c>
      <c r="J24" s="632"/>
      <c r="K24" s="638">
        <v>180855000</v>
      </c>
    </row>
    <row r="25" spans="1:11" x14ac:dyDescent="0.25">
      <c r="A25" t="s">
        <v>763</v>
      </c>
      <c r="B25" s="636">
        <v>15000000</v>
      </c>
      <c r="C25" t="s">
        <v>471</v>
      </c>
      <c r="D25" t="str">
        <f>+INDEX('inv rubricas'!F:F,MATCH(Sheet1!A25,'inv rubricas'!D:D,0),1)</f>
        <v>Direção de Obras</v>
      </c>
      <c r="G25">
        <f>MATCH(Table3[[#This Row],[nome]],MapaIII!C:C,0)</f>
        <v>66</v>
      </c>
      <c r="I25" s="632" t="s">
        <v>897</v>
      </c>
      <c r="J25" s="632" t="s">
        <v>421</v>
      </c>
      <c r="K25" s="638">
        <v>2800000</v>
      </c>
    </row>
    <row r="26" spans="1:11" x14ac:dyDescent="0.25">
      <c r="A26" t="s">
        <v>892</v>
      </c>
      <c r="B26" s="636">
        <v>2500000</v>
      </c>
      <c r="C26" t="s">
        <v>439</v>
      </c>
      <c r="D26" t="str">
        <f>+INDEX('inv rubricas'!F:F,MATCH(Sheet1!A26,'inv rubricas'!D:D,0),1)</f>
        <v>Direção de Obras</v>
      </c>
      <c r="G26">
        <f>MATCH(Table3[[#This Row],[nome]],MapaIII!C:C,0)</f>
        <v>44</v>
      </c>
      <c r="I26" s="632" t="s">
        <v>1044</v>
      </c>
      <c r="J26" s="632"/>
      <c r="K26" s="638">
        <v>2800000</v>
      </c>
    </row>
    <row r="27" spans="1:11" x14ac:dyDescent="0.25">
      <c r="A27" t="s">
        <v>764</v>
      </c>
      <c r="B27" s="636">
        <v>1000000</v>
      </c>
      <c r="C27" t="s">
        <v>439</v>
      </c>
      <c r="D27" t="str">
        <f>+INDEX('inv rubricas'!F:F,MATCH(Sheet1!A27,'inv rubricas'!D:D,0),1)</f>
        <v>Direção de Obras</v>
      </c>
      <c r="G27">
        <f>MATCH(Table3[[#This Row],[nome]],MapaIII!C:C,0)</f>
        <v>67</v>
      </c>
      <c r="I27" s="632" t="s">
        <v>487</v>
      </c>
      <c r="J27" s="632" t="s">
        <v>406</v>
      </c>
      <c r="K27" s="638">
        <v>1000000</v>
      </c>
    </row>
    <row r="28" spans="1:11" x14ac:dyDescent="0.25">
      <c r="A28" t="s">
        <v>895</v>
      </c>
      <c r="B28" s="636">
        <v>4000000</v>
      </c>
      <c r="C28" t="s">
        <v>451</v>
      </c>
      <c r="D28" t="str">
        <f>+INDEX('inv rubricas'!F:F,MATCH(Sheet1!A28,'inv rubricas'!D:D,0),1)</f>
        <v>Direção de Obras</v>
      </c>
      <c r="G28">
        <f>MATCH(Table3[[#This Row],[nome]],MapaIII!C:C,0)</f>
        <v>34</v>
      </c>
      <c r="J28" s="632" t="s">
        <v>421</v>
      </c>
      <c r="K28" s="638">
        <v>41800000</v>
      </c>
    </row>
    <row r="29" spans="1:11" x14ac:dyDescent="0.25">
      <c r="A29" t="s">
        <v>896</v>
      </c>
      <c r="B29" s="636">
        <v>700000</v>
      </c>
      <c r="C29" t="s">
        <v>471</v>
      </c>
      <c r="D29" t="str">
        <f>+INDEX('inv rubricas'!F:F,MATCH(Sheet1!A29,'inv rubricas'!D:D,0),1)</f>
        <v>Direção de Obras</v>
      </c>
      <c r="G29">
        <f>MATCH(Table3[[#This Row],[nome]],MapaIII!C:C,0)</f>
        <v>64</v>
      </c>
      <c r="I29" s="632" t="s">
        <v>1045</v>
      </c>
      <c r="J29" s="632"/>
      <c r="K29" s="638">
        <v>42800000</v>
      </c>
    </row>
    <row r="30" spans="1:11" x14ac:dyDescent="0.25">
      <c r="A30" t="s">
        <v>744</v>
      </c>
      <c r="B30" s="636">
        <v>4000000</v>
      </c>
      <c r="C30" t="s">
        <v>487</v>
      </c>
      <c r="D30" t="str">
        <f>+INDEX('inv rubricas'!F:F,MATCH(Sheet1!A30,'inv rubricas'!D:D,0),1)</f>
        <v>Direção de Obras</v>
      </c>
      <c r="G30">
        <f>MATCH(Table3[[#This Row],[nome]],MapaIII!C:C,0)</f>
        <v>35</v>
      </c>
      <c r="I30" s="632" t="s">
        <v>502</v>
      </c>
      <c r="J30" s="632" t="s">
        <v>407</v>
      </c>
      <c r="K30" s="638">
        <v>2000000</v>
      </c>
    </row>
    <row r="31" spans="1:11" x14ac:dyDescent="0.25">
      <c r="A31" t="s">
        <v>898</v>
      </c>
      <c r="B31" s="636">
        <v>2800000</v>
      </c>
      <c r="C31" t="s">
        <v>897</v>
      </c>
      <c r="D31" t="str">
        <f>+INDEX('inv rubricas'!F:F,MATCH(Sheet1!A31,'inv rubricas'!D:D,0),1)</f>
        <v>Direção de Obras</v>
      </c>
      <c r="G31">
        <f>MATCH(Table3[[#This Row],[nome]],MapaIII!C:C,0)</f>
        <v>36</v>
      </c>
      <c r="I31" s="632" t="s">
        <v>1046</v>
      </c>
      <c r="J31" s="632"/>
      <c r="K31" s="638">
        <v>2000000</v>
      </c>
    </row>
    <row r="32" spans="1:11" x14ac:dyDescent="0.25">
      <c r="A32" t="s">
        <v>758</v>
      </c>
      <c r="B32" s="636">
        <v>2000000</v>
      </c>
      <c r="C32" t="s">
        <v>471</v>
      </c>
      <c r="D32" t="str">
        <f>+INDEX('inv rubricas'!F:F,MATCH(Sheet1!A32,'inv rubricas'!D:D,0),1)</f>
        <v>Direção de Obras</v>
      </c>
      <c r="G32">
        <f>MATCH(Table3[[#This Row],[nome]],MapaIII!C:C,0)</f>
        <v>63</v>
      </c>
      <c r="I32" s="632" t="s">
        <v>8</v>
      </c>
      <c r="K32" s="638">
        <v>271655000</v>
      </c>
    </row>
    <row r="33" spans="1:12" x14ac:dyDescent="0.25">
      <c r="A33" t="s">
        <v>899</v>
      </c>
      <c r="B33" s="636">
        <v>1000000</v>
      </c>
      <c r="C33" t="s">
        <v>471</v>
      </c>
      <c r="D33" t="str">
        <f>+INDEX('inv rubricas'!F:F,MATCH(Sheet1!A33,'inv rubricas'!D:D,0),1)</f>
        <v>Direção de Obras</v>
      </c>
      <c r="G33">
        <f>MATCH(Table3[[#This Row],[nome]],MapaIII!C:C,0)</f>
        <v>33</v>
      </c>
      <c r="L33">
        <f>+GETPIVOTDATA("valor",$I$2)-268855000</f>
        <v>2800000</v>
      </c>
    </row>
    <row r="34" spans="1:12" x14ac:dyDescent="0.25">
      <c r="A34" t="s">
        <v>766</v>
      </c>
      <c r="B34" s="636">
        <v>25300000</v>
      </c>
      <c r="C34" t="s">
        <v>487</v>
      </c>
      <c r="D34" t="str">
        <f>+INDEX('inv rubricas'!F:F,MATCH(Sheet1!A34,'inv rubricas'!D:D,0),1)</f>
        <v>Direção de Obras</v>
      </c>
      <c r="G34">
        <f>MATCH(Table3[[#This Row],[nome]],MapaIII!C:C,0)</f>
        <v>69</v>
      </c>
    </row>
    <row r="35" spans="1:12" x14ac:dyDescent="0.25">
      <c r="A35" t="s">
        <v>1032</v>
      </c>
      <c r="B35" s="636">
        <v>9000000</v>
      </c>
      <c r="C35" t="s">
        <v>487</v>
      </c>
      <c r="D35" t="s">
        <v>421</v>
      </c>
      <c r="G35">
        <f>MATCH(Table3[[#This Row],[nome]],MapaIII!C:C,0)</f>
        <v>45</v>
      </c>
    </row>
    <row r="36" spans="1:12" x14ac:dyDescent="0.25">
      <c r="A36" t="s">
        <v>907</v>
      </c>
      <c r="B36" s="636">
        <v>1500000</v>
      </c>
      <c r="C36" t="s">
        <v>487</v>
      </c>
      <c r="D36" t="str">
        <f>+INDEX('inv rubricas'!F:F,MATCH(Sheet1!A36,'inv rubricas'!D:D,0),1)</f>
        <v>Direção de Obras</v>
      </c>
      <c r="G36">
        <f>MATCH(Table3[[#This Row],[nome]],MapaIII!C:C,0)</f>
        <v>20</v>
      </c>
    </row>
    <row r="37" spans="1:12" x14ac:dyDescent="0.25">
      <c r="A37" t="s">
        <v>745</v>
      </c>
      <c r="B37" s="636">
        <v>1000000</v>
      </c>
      <c r="C37" t="s">
        <v>451</v>
      </c>
      <c r="D37" t="str">
        <f>+INDEX('inv rubricas'!F:F,MATCH(Sheet1!A37,'inv rubricas'!D:D,0),1)</f>
        <v>Direção de Obras</v>
      </c>
      <c r="G37">
        <f>MATCH(Table3[[#This Row],[nome]],MapaIII!C:C,0)</f>
        <v>37</v>
      </c>
    </row>
    <row r="38" spans="1:12" x14ac:dyDescent="0.25">
      <c r="A38" t="s">
        <v>908</v>
      </c>
      <c r="B38" s="636">
        <v>15000000</v>
      </c>
      <c r="C38" t="s">
        <v>451</v>
      </c>
      <c r="D38" t="str">
        <f>+INDEX('inv rubricas'!F:F,MATCH(Sheet1!A38,'inv rubricas'!D:D,0),1)</f>
        <v>Direção de Obras</v>
      </c>
      <c r="G38">
        <f>MATCH(Table3[[#This Row],[nome]],MapaIII!C:C,0)</f>
        <v>38</v>
      </c>
    </row>
    <row r="39" spans="1:12" x14ac:dyDescent="0.25">
      <c r="A39" t="s">
        <v>911</v>
      </c>
      <c r="B39" s="636">
        <v>1000000</v>
      </c>
      <c r="C39" t="s">
        <v>487</v>
      </c>
      <c r="D39" t="str">
        <f>+INDEX('inv rubricas'!F:F,MATCH(Sheet1!A39,'inv rubricas'!D:D,0),1)</f>
        <v>Direção de Obras</v>
      </c>
      <c r="G39">
        <f>MATCH(Table3[[#This Row],[nome]],MapaIII!C:C,0)</f>
        <v>46</v>
      </c>
    </row>
    <row r="40" spans="1:12" x14ac:dyDescent="0.25">
      <c r="A40" t="s">
        <v>750</v>
      </c>
      <c r="B40" s="636">
        <v>1500000</v>
      </c>
      <c r="C40" t="s">
        <v>466</v>
      </c>
      <c r="D40" t="str">
        <f>+INDEX('inv rubricas'!F:F,MATCH(Sheet1!A40,'inv rubricas'!D:D,0),1)</f>
        <v>Direção de Obras</v>
      </c>
      <c r="G40">
        <f>MATCH(Table3[[#This Row],[nome]],MapaIII!C:C,0)</f>
        <v>40</v>
      </c>
    </row>
    <row r="41" spans="1:12" x14ac:dyDescent="0.25">
      <c r="A41" t="s">
        <v>757</v>
      </c>
      <c r="B41" s="636">
        <v>6000000</v>
      </c>
      <c r="C41" t="s">
        <v>471</v>
      </c>
      <c r="D41" t="str">
        <f>+INDEX('inv rubricas'!F:F,MATCH(Sheet1!A41,'inv rubricas'!D:D,0),1)</f>
        <v>Direção de Obras</v>
      </c>
      <c r="G41">
        <f>MATCH(Table3[[#This Row],[nome]],MapaIII!C:C,0)</f>
        <v>62</v>
      </c>
    </row>
    <row r="42" spans="1:12" x14ac:dyDescent="0.25">
      <c r="A42" t="s">
        <v>915</v>
      </c>
      <c r="B42" s="636">
        <v>5000000</v>
      </c>
      <c r="C42" t="s">
        <v>471</v>
      </c>
      <c r="D42" t="str">
        <f>+INDEX('inv rubricas'!F:F,MATCH(Sheet1!A42,'inv rubricas'!D:D,0),1)</f>
        <v>Direção de Obras</v>
      </c>
      <c r="G42">
        <f>MATCH(Table3[[#This Row],[nome]],MapaIII!C:C,0)</f>
        <v>47</v>
      </c>
    </row>
    <row r="43" spans="1:12" x14ac:dyDescent="0.25">
      <c r="A43" t="s">
        <v>916</v>
      </c>
      <c r="B43" s="636">
        <v>17000000</v>
      </c>
      <c r="C43" t="s">
        <v>471</v>
      </c>
      <c r="D43" t="str">
        <f>+INDEX('inv rubricas'!F:F,MATCH(Sheet1!A43,'inv rubricas'!D:D,0),1)</f>
        <v>Direção de Obras</v>
      </c>
      <c r="G43">
        <f>MATCH(Table3[[#This Row],[nome]],MapaIII!C:C,0)</f>
        <v>48</v>
      </c>
    </row>
    <row r="44" spans="1:12" x14ac:dyDescent="0.25">
      <c r="A44" t="s">
        <v>753</v>
      </c>
      <c r="B44" s="636">
        <v>4000000</v>
      </c>
      <c r="C44" t="s">
        <v>471</v>
      </c>
      <c r="D44" t="str">
        <f>+INDEX('inv rubricas'!F:F,MATCH(Sheet1!A44,'inv rubricas'!D:D,0),1)</f>
        <v>Direção de Obras</v>
      </c>
      <c r="G44">
        <f>MATCH(Table3[[#This Row],[nome]],MapaIII!C:C,0)</f>
        <v>59</v>
      </c>
    </row>
    <row r="45" spans="1:12" x14ac:dyDescent="0.25">
      <c r="A45" t="s">
        <v>1028</v>
      </c>
      <c r="B45" s="636">
        <v>8000000</v>
      </c>
      <c r="C45" t="s">
        <v>471</v>
      </c>
      <c r="D45" t="s">
        <v>421</v>
      </c>
      <c r="G45">
        <f>MATCH(Table3[[#This Row],[nome]],MapaIII!C:C,0)</f>
        <v>49</v>
      </c>
    </row>
    <row r="46" spans="1:12" x14ac:dyDescent="0.25">
      <c r="A46" t="s">
        <v>919</v>
      </c>
      <c r="B46" s="636">
        <v>12000000</v>
      </c>
      <c r="C46" t="s">
        <v>471</v>
      </c>
      <c r="D46" t="str">
        <f>+INDEX('inv rubricas'!F:F,MATCH(Sheet1!A46,'inv rubricas'!D:D,0),1)</f>
        <v>Direção de Obras</v>
      </c>
      <c r="G46">
        <f>MATCH(Table3[[#This Row],[nome]],MapaIII!C:C,0)</f>
        <v>50</v>
      </c>
    </row>
    <row r="47" spans="1:12" x14ac:dyDescent="0.25">
      <c r="A47" t="s">
        <v>920</v>
      </c>
      <c r="B47" s="636">
        <v>3500000</v>
      </c>
      <c r="C47" t="s">
        <v>471</v>
      </c>
      <c r="D47" t="str">
        <f>+INDEX('inv rubricas'!F:F,MATCH(Sheet1!A47,'inv rubricas'!D:D,0),1)</f>
        <v>Direção de Obras</v>
      </c>
      <c r="G47">
        <f>MATCH(Table3[[#This Row],[nome]],MapaIII!C:C,0)</f>
        <v>51</v>
      </c>
    </row>
    <row r="48" spans="1:12" x14ac:dyDescent="0.25">
      <c r="A48" t="s">
        <v>921</v>
      </c>
      <c r="B48" s="636">
        <v>20000000</v>
      </c>
      <c r="C48" t="s">
        <v>471</v>
      </c>
      <c r="D48" t="str">
        <f>+INDEX('inv rubricas'!F:F,MATCH(Sheet1!A48,'inv rubricas'!D:D,0),1)</f>
        <v>Direção de Obras</v>
      </c>
      <c r="G48">
        <f>MATCH(Table3[[#This Row],[nome]],MapaIII!C:C,0)</f>
        <v>52</v>
      </c>
    </row>
    <row r="49" spans="1:7" x14ac:dyDescent="0.25">
      <c r="A49" t="s">
        <v>1029</v>
      </c>
      <c r="B49" s="636">
        <v>1500000</v>
      </c>
      <c r="C49" t="s">
        <v>471</v>
      </c>
      <c r="D49" t="s">
        <v>421</v>
      </c>
      <c r="G49">
        <f>MATCH(Table3[[#This Row],[nome]],MapaIII!C:C,0)</f>
        <v>53</v>
      </c>
    </row>
    <row r="50" spans="1:7" x14ac:dyDescent="0.25">
      <c r="A50" t="s">
        <v>923</v>
      </c>
      <c r="B50" s="636">
        <v>32000000</v>
      </c>
      <c r="C50" t="s">
        <v>471</v>
      </c>
      <c r="D50" t="str">
        <f>+INDEX('inv rubricas'!F:F,MATCH(Sheet1!A50,'inv rubricas'!D:D,0),1)</f>
        <v>Direção de Obras</v>
      </c>
      <c r="G50">
        <f>MATCH(Table3[[#This Row],[nome]],MapaIII!C:C,0)</f>
        <v>54</v>
      </c>
    </row>
    <row r="51" spans="1:7" x14ac:dyDescent="0.25">
      <c r="A51" t="s">
        <v>924</v>
      </c>
      <c r="B51" s="636">
        <v>14500000</v>
      </c>
      <c r="C51" t="s">
        <v>471</v>
      </c>
      <c r="D51" t="str">
        <f>+INDEX('inv rubricas'!F:F,MATCH(Sheet1!A51,'inv rubricas'!D:D,0),1)</f>
        <v>Direção de Obras</v>
      </c>
      <c r="G51">
        <f>MATCH(Table3[[#This Row],[nome]],MapaIII!C:C,0)</f>
        <v>55</v>
      </c>
    </row>
    <row r="52" spans="1:7" x14ac:dyDescent="0.25">
      <c r="A52" t="s">
        <v>925</v>
      </c>
      <c r="B52" s="636">
        <v>2000000</v>
      </c>
      <c r="C52" t="s">
        <v>471</v>
      </c>
      <c r="D52" t="str">
        <f>+INDEX('inv rubricas'!F:F,MATCH(Sheet1!A52,'inv rubricas'!D:D,0),1)</f>
        <v>Direção de Obras</v>
      </c>
      <c r="G52">
        <f>MATCH(Table3[[#This Row],[nome]],MapaIII!C:C,0)</f>
        <v>56</v>
      </c>
    </row>
    <row r="53" spans="1:7" x14ac:dyDescent="0.25">
      <c r="A53" t="s">
        <v>755</v>
      </c>
      <c r="B53" s="636">
        <v>2500000</v>
      </c>
      <c r="C53" t="s">
        <v>471</v>
      </c>
      <c r="D53" t="str">
        <f>+INDEX('inv rubricas'!F:F,MATCH(Sheet1!A53,'inv rubricas'!D:D,0),1)</f>
        <v>Direção de Obras</v>
      </c>
      <c r="G53">
        <f>MATCH(Table3[[#This Row],[nome]],MapaIII!C:C,0)</f>
        <v>61</v>
      </c>
    </row>
    <row r="54" spans="1:7" x14ac:dyDescent="0.25">
      <c r="A54" t="s">
        <v>1030</v>
      </c>
      <c r="B54" s="636">
        <v>2500000</v>
      </c>
      <c r="C54" t="s">
        <v>471</v>
      </c>
      <c r="D54" t="s">
        <v>421</v>
      </c>
      <c r="G54">
        <f>MATCH(Table3[[#This Row],[nome]],MapaIII!C:C,0)</f>
        <v>57</v>
      </c>
    </row>
    <row r="55" spans="1:7" x14ac:dyDescent="0.25">
      <c r="A55" t="s">
        <v>1031</v>
      </c>
      <c r="B55" s="636">
        <v>1500000</v>
      </c>
      <c r="C55" t="s">
        <v>471</v>
      </c>
      <c r="D55" t="s">
        <v>410</v>
      </c>
      <c r="G55">
        <f>MATCH(Table3[[#This Row],[nome]],MapaIII!C:C,0)</f>
        <v>41</v>
      </c>
    </row>
    <row r="56" spans="1:7" x14ac:dyDescent="0.25">
      <c r="A56" t="s">
        <v>787</v>
      </c>
      <c r="B56" s="636">
        <v>13000000</v>
      </c>
      <c r="C56" t="s">
        <v>471</v>
      </c>
      <c r="D56" t="str">
        <f>+INDEX('inv rubricas'!F:F,MATCH(Sheet1!A56,'inv rubricas'!D:D,0),1)</f>
        <v>Direcao da Familia, Inclusão, Genero e Saúde</v>
      </c>
      <c r="G56">
        <f>MATCH(Table3[[#This Row],[nome]],MapaIII!C:C,0)</f>
        <v>82</v>
      </c>
    </row>
    <row r="57" spans="1:7" x14ac:dyDescent="0.25">
      <c r="A57" t="s">
        <v>931</v>
      </c>
      <c r="B57" s="636">
        <v>1200000</v>
      </c>
      <c r="C57" t="s">
        <v>451</v>
      </c>
      <c r="D57" t="str">
        <f>+INDEX('inv rubricas'!F:F,MATCH(Sheet1!A57,'inv rubricas'!D:D,0),1)</f>
        <v>Direcao da Familia, Inclusão, Genero e Saúde</v>
      </c>
      <c r="G57">
        <f>MATCH(Table3[[#This Row],[nome]],MapaIII!C:C,0)</f>
        <v>80</v>
      </c>
    </row>
  </sheetData>
  <autoFilter ref="G2:G57"/>
  <pageMargins left="0.7" right="0.7" top="0.75" bottom="0.75" header="0.3" footer="0.3"/>
  <pageSetup orientation="portrait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2:O103"/>
  <sheetViews>
    <sheetView topLeftCell="A19" workbookViewId="0">
      <selection activeCell="N20" sqref="N20"/>
    </sheetView>
  </sheetViews>
  <sheetFormatPr defaultRowHeight="12" x14ac:dyDescent="0.25"/>
  <cols>
    <col min="1" max="1" width="8.28515625" style="493" customWidth="1"/>
    <col min="2" max="2" width="23.85546875" style="493" customWidth="1"/>
    <col min="3" max="3" width="14.7109375" style="493" customWidth="1"/>
    <col min="4" max="4" width="9.28515625" style="493" customWidth="1"/>
    <col min="5" max="5" width="14.5703125" style="493" customWidth="1"/>
    <col min="6" max="6" width="16.28515625" style="493" customWidth="1"/>
    <col min="7" max="7" width="15.7109375" style="493" customWidth="1"/>
    <col min="8" max="8" width="6.7109375" style="577" customWidth="1"/>
    <col min="9" max="9" width="5.5703125" style="577" customWidth="1"/>
    <col min="10" max="10" width="6.42578125" style="490" customWidth="1"/>
    <col min="11" max="11" width="18" style="492" hidden="1" customWidth="1"/>
    <col min="12" max="12" width="14.28515625" style="492" hidden="1" customWidth="1"/>
    <col min="13" max="13" width="13.42578125" style="492" hidden="1" customWidth="1"/>
    <col min="14" max="14" width="12.42578125" style="492" bestFit="1" customWidth="1"/>
    <col min="15" max="15" width="14.28515625" style="493" bestFit="1" customWidth="1"/>
    <col min="16" max="16384" width="9.140625" style="493"/>
  </cols>
  <sheetData>
    <row r="2" spans="1:15" ht="15.75" x14ac:dyDescent="0.25">
      <c r="A2" s="737"/>
      <c r="B2" s="737"/>
      <c r="C2" s="737"/>
      <c r="D2" s="737"/>
      <c r="E2" s="737"/>
      <c r="F2" s="737"/>
      <c r="G2" s="737"/>
      <c r="H2" s="737"/>
      <c r="I2" s="737"/>
      <c r="K2" s="491"/>
    </row>
    <row r="3" spans="1:15" ht="15.75" x14ac:dyDescent="0.25">
      <c r="A3" s="494"/>
      <c r="B3" s="494"/>
      <c r="C3" s="494"/>
      <c r="D3" s="494"/>
      <c r="E3" s="494"/>
      <c r="F3" s="494"/>
      <c r="G3" s="494"/>
      <c r="H3" s="494"/>
      <c r="I3" s="494"/>
      <c r="K3" s="491"/>
      <c r="N3" s="495"/>
    </row>
    <row r="4" spans="1:15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6"/>
      <c r="L4" s="491"/>
    </row>
    <row r="5" spans="1:15" ht="15.75" x14ac:dyDescent="0.25">
      <c r="A5" s="737" t="s">
        <v>1129</v>
      </c>
      <c r="B5" s="737"/>
      <c r="C5" s="737"/>
      <c r="D5" s="737"/>
      <c r="E5" s="737"/>
      <c r="F5" s="737"/>
      <c r="G5" s="737"/>
      <c r="H5" s="737"/>
      <c r="I5" s="737"/>
    </row>
    <row r="6" spans="1:15" ht="15.75" x14ac:dyDescent="0.25">
      <c r="A6" s="737" t="s">
        <v>789</v>
      </c>
      <c r="B6" s="737"/>
      <c r="C6" s="737"/>
      <c r="D6" s="737"/>
      <c r="E6" s="737"/>
      <c r="F6" s="737"/>
      <c r="G6" s="737"/>
      <c r="H6" s="737"/>
      <c r="I6" s="737"/>
      <c r="K6" s="491"/>
    </row>
    <row r="7" spans="1:15" ht="12.75" x14ac:dyDescent="0.25">
      <c r="A7" s="738" t="s">
        <v>932</v>
      </c>
      <c r="B7" s="738"/>
      <c r="C7" s="738"/>
      <c r="D7" s="738"/>
      <c r="E7" s="738"/>
      <c r="F7" s="738"/>
      <c r="G7" s="738"/>
      <c r="H7" s="738"/>
      <c r="I7" s="738"/>
    </row>
    <row r="8" spans="1:15" x14ac:dyDescent="0.25">
      <c r="A8" s="490"/>
      <c r="B8" s="490"/>
      <c r="C8" s="490"/>
      <c r="D8" s="490"/>
      <c r="E8" s="490"/>
      <c r="F8" s="490"/>
      <c r="G8" s="490"/>
      <c r="H8" s="497"/>
      <c r="I8" s="497"/>
    </row>
    <row r="9" spans="1:15" s="503" customFormat="1" ht="24" x14ac:dyDescent="0.25">
      <c r="A9" s="498" t="s">
        <v>791</v>
      </c>
      <c r="B9" s="498" t="s">
        <v>396</v>
      </c>
      <c r="C9" s="499" t="s">
        <v>933</v>
      </c>
      <c r="D9" s="499" t="s">
        <v>934</v>
      </c>
      <c r="E9" s="498" t="s">
        <v>935</v>
      </c>
      <c r="F9" s="498" t="s">
        <v>702</v>
      </c>
      <c r="G9" s="498" t="s">
        <v>429</v>
      </c>
      <c r="H9" s="500" t="s">
        <v>936</v>
      </c>
      <c r="I9" s="499" t="s">
        <v>937</v>
      </c>
      <c r="J9" s="501"/>
      <c r="K9" s="733" t="s">
        <v>938</v>
      </c>
      <c r="L9" s="734"/>
      <c r="M9" s="502"/>
      <c r="N9" s="502"/>
    </row>
    <row r="10" spans="1:15" ht="15" customHeight="1" x14ac:dyDescent="0.25">
      <c r="A10" s="735" t="s">
        <v>939</v>
      </c>
      <c r="B10" s="736"/>
      <c r="C10" s="504">
        <f>SUM(C11:C16)</f>
        <v>200441372</v>
      </c>
      <c r="D10" s="504">
        <f>SUM(D11:D16)</f>
        <v>0</v>
      </c>
      <c r="E10" s="504">
        <f>SUM(E11:E16)</f>
        <v>200441372</v>
      </c>
      <c r="F10" s="504">
        <f>SUM(F11:F16)</f>
        <v>281224804</v>
      </c>
      <c r="G10" s="504">
        <f t="shared" ref="G10:G16" si="0">E10+F10</f>
        <v>481666176</v>
      </c>
      <c r="H10" s="505">
        <f>E10/E10</f>
        <v>1</v>
      </c>
      <c r="I10" s="505">
        <f>F10/F10</f>
        <v>1</v>
      </c>
      <c r="J10" s="492"/>
      <c r="K10" s="506">
        <f>+C10-C17</f>
        <v>16391215</v>
      </c>
      <c r="L10" s="507" t="str">
        <f>+IF(K10&lt;0,"déficit","superavit")</f>
        <v>superavit</v>
      </c>
      <c r="O10" s="508"/>
    </row>
    <row r="11" spans="1:15" s="517" customFormat="1" ht="15" customHeight="1" x14ac:dyDescent="0.25">
      <c r="A11" s="509" t="s">
        <v>940</v>
      </c>
      <c r="B11" s="510" t="s">
        <v>941</v>
      </c>
      <c r="C11" s="511"/>
      <c r="D11" s="512"/>
      <c r="E11" s="513">
        <f t="shared" ref="E11:E16" si="1">C11+D11</f>
        <v>0</v>
      </c>
      <c r="F11" s="512"/>
      <c r="G11" s="513">
        <f t="shared" si="0"/>
        <v>0</v>
      </c>
      <c r="H11" s="514">
        <f t="shared" ref="H11:I16" si="2">E11/$E$10</f>
        <v>0</v>
      </c>
      <c r="I11" s="514">
        <f t="shared" si="2"/>
        <v>0</v>
      </c>
      <c r="J11" s="491"/>
      <c r="K11" s="515">
        <v>0</v>
      </c>
      <c r="L11" s="516" t="s">
        <v>942</v>
      </c>
      <c r="N11" s="492"/>
    </row>
    <row r="12" spans="1:15" s="517" customFormat="1" ht="15" customHeight="1" x14ac:dyDescent="0.25">
      <c r="A12" s="518" t="s">
        <v>795</v>
      </c>
      <c r="B12" s="519" t="s">
        <v>14</v>
      </c>
      <c r="C12" s="519">
        <f>+MapaI!D15</f>
        <v>18375000</v>
      </c>
      <c r="D12" s="519">
        <v>0</v>
      </c>
      <c r="E12" s="520">
        <f t="shared" si="1"/>
        <v>18375000</v>
      </c>
      <c r="F12" s="520">
        <v>0</v>
      </c>
      <c r="G12" s="520">
        <f t="shared" si="0"/>
        <v>18375000</v>
      </c>
      <c r="H12" s="516">
        <f t="shared" si="2"/>
        <v>9.1672691204688017E-2</v>
      </c>
      <c r="I12" s="516">
        <f>G12/$G$10</f>
        <v>3.8148827788978899E-2</v>
      </c>
      <c r="J12" s="521"/>
      <c r="K12" s="491"/>
      <c r="L12" s="492"/>
      <c r="N12" s="492"/>
      <c r="O12" s="491"/>
    </row>
    <row r="13" spans="1:15" s="517" customFormat="1" ht="15" customHeight="1" x14ac:dyDescent="0.25">
      <c r="A13" s="518" t="s">
        <v>796</v>
      </c>
      <c r="B13" s="519" t="s">
        <v>822</v>
      </c>
      <c r="C13" s="519">
        <v>0</v>
      </c>
      <c r="D13" s="519">
        <v>0</v>
      </c>
      <c r="E13" s="520">
        <f t="shared" si="1"/>
        <v>0</v>
      </c>
      <c r="F13" s="522"/>
      <c r="G13" s="520">
        <f t="shared" si="0"/>
        <v>0</v>
      </c>
      <c r="H13" s="516">
        <f t="shared" si="2"/>
        <v>0</v>
      </c>
      <c r="I13" s="516">
        <f>G13/$G$10</f>
        <v>0</v>
      </c>
      <c r="J13" s="491"/>
      <c r="K13" s="733" t="s">
        <v>943</v>
      </c>
      <c r="L13" s="734"/>
      <c r="M13" s="492"/>
      <c r="N13" s="492"/>
      <c r="O13" s="492"/>
    </row>
    <row r="14" spans="1:15" s="517" customFormat="1" ht="15" customHeight="1" x14ac:dyDescent="0.25">
      <c r="A14" s="518" t="s">
        <v>797</v>
      </c>
      <c r="B14" s="519" t="s">
        <v>576</v>
      </c>
      <c r="C14" s="519">
        <f>+MapaI!D35</f>
        <v>146825108</v>
      </c>
      <c r="D14" s="519">
        <v>0</v>
      </c>
      <c r="E14" s="520">
        <f t="shared" si="1"/>
        <v>146825108</v>
      </c>
      <c r="F14" s="520">
        <f>+MapaI!E35</f>
        <v>173200000</v>
      </c>
      <c r="G14" s="520">
        <f t="shared" si="0"/>
        <v>320025108</v>
      </c>
      <c r="H14" s="516">
        <f t="shared" si="2"/>
        <v>0.73250899519885548</v>
      </c>
      <c r="I14" s="516">
        <f>G14/$G$10</f>
        <v>0.66441266575463254</v>
      </c>
      <c r="J14" s="523"/>
      <c r="K14" s="522" t="s">
        <v>944</v>
      </c>
      <c r="L14" s="520" t="e">
        <f>+K10-L21</f>
        <v>#REF!</v>
      </c>
      <c r="M14" s="492"/>
      <c r="N14" s="492"/>
      <c r="O14" s="492"/>
    </row>
    <row r="15" spans="1:15" s="517" customFormat="1" ht="15" customHeight="1" x14ac:dyDescent="0.25">
      <c r="A15" s="518" t="s">
        <v>945</v>
      </c>
      <c r="B15" s="519" t="s">
        <v>823</v>
      </c>
      <c r="C15" s="519">
        <f>+MapaI!D65</f>
        <v>35241264</v>
      </c>
      <c r="D15" s="519">
        <v>0</v>
      </c>
      <c r="E15" s="520">
        <f t="shared" si="1"/>
        <v>35241264</v>
      </c>
      <c r="F15" s="520">
        <v>0</v>
      </c>
      <c r="G15" s="520">
        <f t="shared" si="0"/>
        <v>35241264</v>
      </c>
      <c r="H15" s="516">
        <f t="shared" si="2"/>
        <v>0.17581831359645653</v>
      </c>
      <c r="I15" s="516">
        <f>G15/$G$10</f>
        <v>7.3165328511670291E-2</v>
      </c>
      <c r="J15" s="492"/>
      <c r="K15" s="522" t="s">
        <v>946</v>
      </c>
      <c r="L15" s="519">
        <f>+F16</f>
        <v>108024804</v>
      </c>
      <c r="M15" s="492"/>
      <c r="N15" s="492"/>
      <c r="O15" s="492"/>
    </row>
    <row r="16" spans="1:15" ht="15" customHeight="1" x14ac:dyDescent="0.25">
      <c r="A16" s="518" t="s">
        <v>666</v>
      </c>
      <c r="B16" s="519" t="s">
        <v>667</v>
      </c>
      <c r="C16" s="519">
        <v>0</v>
      </c>
      <c r="D16" s="519">
        <v>0</v>
      </c>
      <c r="E16" s="519">
        <f t="shared" si="1"/>
        <v>0</v>
      </c>
      <c r="F16" s="519">
        <f>+MapaI!E130</f>
        <v>108024804</v>
      </c>
      <c r="G16" s="519">
        <f t="shared" si="0"/>
        <v>108024804</v>
      </c>
      <c r="H16" s="516">
        <f t="shared" si="2"/>
        <v>0</v>
      </c>
      <c r="I16" s="516">
        <f>G16/$G$10</f>
        <v>0.22427317794471829</v>
      </c>
      <c r="J16" s="524"/>
      <c r="K16" s="525" t="s">
        <v>429</v>
      </c>
      <c r="L16" s="525" t="e">
        <f>SUM(L14:L15)</f>
        <v>#REF!</v>
      </c>
      <c r="O16" s="492"/>
    </row>
    <row r="17" spans="1:15" ht="15" customHeight="1" x14ac:dyDescent="0.25">
      <c r="A17" s="735" t="s">
        <v>947</v>
      </c>
      <c r="B17" s="736"/>
      <c r="C17" s="504">
        <f>SUM(C18:C26)</f>
        <v>184050157</v>
      </c>
      <c r="D17" s="504">
        <f>SUM(D18:D26)</f>
        <v>0</v>
      </c>
      <c r="E17" s="504">
        <f>SUM(E18:E26)</f>
        <v>184050157</v>
      </c>
      <c r="F17" s="504">
        <f>SUM(F18:F26)</f>
        <v>271655000</v>
      </c>
      <c r="G17" s="504">
        <f>E17+F17</f>
        <v>455705157</v>
      </c>
      <c r="H17" s="505">
        <f>E17/E17</f>
        <v>1</v>
      </c>
      <c r="I17" s="505">
        <f>G17/$G$17</f>
        <v>1</v>
      </c>
      <c r="J17" s="492"/>
      <c r="M17" s="491"/>
      <c r="O17" s="492"/>
    </row>
    <row r="18" spans="1:15" s="517" customFormat="1" ht="15" customHeight="1" x14ac:dyDescent="0.25">
      <c r="A18" s="526" t="s">
        <v>948</v>
      </c>
      <c r="B18" s="510" t="s">
        <v>949</v>
      </c>
      <c r="C18" s="512"/>
      <c r="D18" s="512"/>
      <c r="E18" s="512"/>
      <c r="F18" s="512"/>
      <c r="G18" s="512"/>
      <c r="H18" s="514"/>
      <c r="I18" s="514"/>
      <c r="J18" s="492"/>
      <c r="M18" s="492"/>
      <c r="N18" s="492"/>
      <c r="O18" s="492"/>
    </row>
    <row r="19" spans="1:15" s="517" customFormat="1" ht="15" customHeight="1" x14ac:dyDescent="0.25">
      <c r="A19" s="518" t="s">
        <v>802</v>
      </c>
      <c r="B19" s="520" t="s">
        <v>950</v>
      </c>
      <c r="C19" s="520">
        <f>+MapaIII!D12</f>
        <v>129688012</v>
      </c>
      <c r="D19" s="520"/>
      <c r="E19" s="520">
        <f t="shared" ref="E19:E26" si="3">C19+D19</f>
        <v>129688012</v>
      </c>
      <c r="F19" s="527">
        <f>+GETPIVOTDATA("valor",Sheet1!$I$2,"rubrica","02.01.01.02.07")</f>
        <v>100000</v>
      </c>
      <c r="G19" s="519">
        <f t="shared" ref="G19:G26" si="4">E19+F19</f>
        <v>129788012</v>
      </c>
      <c r="H19" s="516">
        <f>E19/$E$17</f>
        <v>0.70463407428660874</v>
      </c>
      <c r="I19" s="516">
        <f t="shared" ref="I19:I26" si="5">G19/$G$17</f>
        <v>0.28480698540789173</v>
      </c>
      <c r="J19" s="492"/>
      <c r="M19" s="492"/>
      <c r="N19" s="492"/>
      <c r="O19" s="492"/>
    </row>
    <row r="20" spans="1:15" s="517" customFormat="1" ht="15" customHeight="1" x14ac:dyDescent="0.25">
      <c r="A20" s="518" t="s">
        <v>803</v>
      </c>
      <c r="B20" s="520" t="s">
        <v>493</v>
      </c>
      <c r="C20" s="520">
        <f>+MapaIII!D13</f>
        <v>27399480</v>
      </c>
      <c r="D20" s="520"/>
      <c r="E20" s="520">
        <f t="shared" si="3"/>
        <v>27399480</v>
      </c>
      <c r="F20" s="519">
        <f>+GETPIVOTDATA("valor",Sheet1!$I$2,"rubrica","02.02.02.01.03.01")</f>
        <v>5500000</v>
      </c>
      <c r="G20" s="519">
        <f t="shared" si="4"/>
        <v>32899480</v>
      </c>
      <c r="H20" s="516">
        <f t="shared" ref="H20:H26" si="6">E20/$E$17</f>
        <v>0.14886963666105429</v>
      </c>
      <c r="I20" s="516">
        <f t="shared" si="5"/>
        <v>7.2194662479977162E-2</v>
      </c>
      <c r="J20" s="490"/>
      <c r="K20" s="528" t="s">
        <v>951</v>
      </c>
      <c r="L20" s="529">
        <f>+F29</f>
        <v>124405000</v>
      </c>
      <c r="M20" s="492"/>
      <c r="N20" s="492"/>
      <c r="O20" s="492"/>
    </row>
    <row r="21" spans="1:15" s="517" customFormat="1" x14ac:dyDescent="0.25">
      <c r="A21" s="518" t="s">
        <v>952</v>
      </c>
      <c r="B21" s="520" t="s">
        <v>952</v>
      </c>
      <c r="C21" s="522"/>
      <c r="D21" s="522"/>
      <c r="E21" s="520">
        <f t="shared" si="3"/>
        <v>0</v>
      </c>
      <c r="F21" s="519"/>
      <c r="G21" s="519">
        <f t="shared" si="4"/>
        <v>0</v>
      </c>
      <c r="H21" s="516">
        <f t="shared" si="6"/>
        <v>0</v>
      </c>
      <c r="I21" s="516">
        <f t="shared" si="5"/>
        <v>0</v>
      </c>
      <c r="J21" s="490"/>
      <c r="K21" s="492" t="s">
        <v>953</v>
      </c>
      <c r="L21" s="495" t="e">
        <v>#REF!</v>
      </c>
      <c r="M21" s="492"/>
      <c r="N21" s="492"/>
      <c r="O21" s="492"/>
    </row>
    <row r="22" spans="1:15" s="517" customFormat="1" ht="15" customHeight="1" x14ac:dyDescent="0.25">
      <c r="A22" s="518" t="s">
        <v>804</v>
      </c>
      <c r="B22" s="520" t="s">
        <v>556</v>
      </c>
      <c r="C22" s="520">
        <f>+MapaIII!D14</f>
        <v>9136765</v>
      </c>
      <c r="D22" s="520"/>
      <c r="E22" s="520">
        <f t="shared" si="3"/>
        <v>9136765</v>
      </c>
      <c r="F22" s="519"/>
      <c r="G22" s="519">
        <f t="shared" si="4"/>
        <v>9136765</v>
      </c>
      <c r="H22" s="516">
        <f t="shared" si="6"/>
        <v>4.964279927237443E-2</v>
      </c>
      <c r="I22" s="516">
        <f t="shared" si="5"/>
        <v>2.0049729215594548E-2</v>
      </c>
      <c r="J22" s="490"/>
      <c r="K22" s="492"/>
      <c r="L22" s="530"/>
      <c r="M22" s="491">
        <f>+G10-G17</f>
        <v>25961019</v>
      </c>
      <c r="N22" s="492"/>
      <c r="O22" s="492"/>
    </row>
    <row r="23" spans="1:15" s="517" customFormat="1" ht="15" customHeight="1" x14ac:dyDescent="0.25">
      <c r="A23" s="518" t="s">
        <v>805</v>
      </c>
      <c r="B23" s="520" t="s">
        <v>576</v>
      </c>
      <c r="C23" s="520">
        <f>+MapaIII!D15</f>
        <v>500000</v>
      </c>
      <c r="D23" s="520"/>
      <c r="E23" s="520">
        <f t="shared" si="3"/>
        <v>500000</v>
      </c>
      <c r="F23" s="519"/>
      <c r="G23" s="519">
        <f t="shared" si="4"/>
        <v>500000</v>
      </c>
      <c r="H23" s="516">
        <f t="shared" si="6"/>
        <v>2.7166507660191779E-3</v>
      </c>
      <c r="I23" s="516">
        <f t="shared" si="5"/>
        <v>1.0972006621377778E-3</v>
      </c>
      <c r="J23" s="490"/>
      <c r="K23" s="531"/>
      <c r="L23" s="491"/>
      <c r="M23" s="491"/>
      <c r="N23" s="492"/>
      <c r="O23" s="492"/>
    </row>
    <row r="24" spans="1:15" s="517" customFormat="1" ht="15" customHeight="1" x14ac:dyDescent="0.25">
      <c r="A24" s="518" t="s">
        <v>806</v>
      </c>
      <c r="B24" s="520" t="s">
        <v>594</v>
      </c>
      <c r="C24" s="520">
        <f>+MapaIII!D16</f>
        <v>12825900</v>
      </c>
      <c r="D24" s="519"/>
      <c r="E24" s="520">
        <f t="shared" si="3"/>
        <v>12825900</v>
      </c>
      <c r="F24" s="519">
        <f>+GETPIVOTDATA("valor",Sheet1!$I$2,"rubrica","02.07.02.01")</f>
        <v>2800000</v>
      </c>
      <c r="G24" s="519">
        <f t="shared" si="4"/>
        <v>15625900</v>
      </c>
      <c r="H24" s="516">
        <f t="shared" si="6"/>
        <v>6.9686982119770757E-2</v>
      </c>
      <c r="I24" s="516">
        <f t="shared" si="5"/>
        <v>3.4289495652997402E-2</v>
      </c>
      <c r="J24" s="490"/>
      <c r="K24" s="491"/>
      <c r="L24" s="492"/>
      <c r="M24" s="492"/>
      <c r="N24" s="492"/>
      <c r="O24" s="492"/>
    </row>
    <row r="25" spans="1:15" s="517" customFormat="1" ht="15" customHeight="1" x14ac:dyDescent="0.25">
      <c r="A25" s="518" t="s">
        <v>807</v>
      </c>
      <c r="B25" s="520" t="s">
        <v>609</v>
      </c>
      <c r="C25" s="519">
        <f>+MapaIII!D17</f>
        <v>4500000</v>
      </c>
      <c r="D25" s="519"/>
      <c r="E25" s="520">
        <f t="shared" si="3"/>
        <v>4500000</v>
      </c>
      <c r="F25" s="520">
        <f>+GETPIVOTDATA("valor",Sheet1!$I$2,"rubrica","02.08.02")</f>
        <v>33300000</v>
      </c>
      <c r="G25" s="519">
        <f t="shared" si="4"/>
        <v>37800000</v>
      </c>
      <c r="H25" s="516">
        <f t="shared" si="6"/>
        <v>2.4449856894172603E-2</v>
      </c>
      <c r="I25" s="516">
        <f t="shared" si="5"/>
        <v>8.2948370057616003E-2</v>
      </c>
      <c r="J25" s="490"/>
      <c r="K25" s="532"/>
      <c r="L25" s="491"/>
      <c r="M25" s="492"/>
      <c r="N25" s="492"/>
      <c r="O25" s="492"/>
    </row>
    <row r="26" spans="1:15" ht="15" customHeight="1" x14ac:dyDescent="0.25">
      <c r="A26" s="518" t="s">
        <v>718</v>
      </c>
      <c r="B26" s="519" t="s">
        <v>954</v>
      </c>
      <c r="C26" s="519">
        <v>0</v>
      </c>
      <c r="D26" s="519"/>
      <c r="E26" s="519">
        <f t="shared" si="3"/>
        <v>0</v>
      </c>
      <c r="F26" s="519">
        <f>+GETPIVOTDATA("valor",Sheet1!$I$2,"rubrica","03.01.01.01.04.01")+GETPIVOTDATA("valor",Sheet1!$I$2,"rubrica","03.01.01.01.06.01")+GETPIVOTDATA("valor",Sheet1!$I$2,"rubrica","03.01.01.02..01.03.01")+GETPIVOTDATA("valor",Sheet1!$I$2,"rubrica","03.01.01.02.04.01")+GETPIVOTDATA("valor",Sheet1!$I$2,"rubrica","03.01.04.04.02.01")</f>
        <v>229955000</v>
      </c>
      <c r="G26" s="519">
        <f t="shared" si="4"/>
        <v>229955000</v>
      </c>
      <c r="H26" s="516">
        <f t="shared" si="6"/>
        <v>0</v>
      </c>
      <c r="I26" s="516">
        <f t="shared" si="5"/>
        <v>0.50461355652378537</v>
      </c>
      <c r="K26" s="491"/>
      <c r="O26" s="492"/>
    </row>
    <row r="27" spans="1:15" ht="15" customHeight="1" x14ac:dyDescent="0.25">
      <c r="A27" s="739"/>
      <c r="B27" s="740"/>
      <c r="C27" s="740"/>
      <c r="D27" s="740"/>
      <c r="E27" s="740"/>
      <c r="F27" s="740"/>
      <c r="G27" s="741"/>
      <c r="H27" s="741"/>
      <c r="I27" s="741"/>
      <c r="K27" s="491"/>
      <c r="L27" s="531"/>
    </row>
    <row r="28" spans="1:15" ht="15" customHeight="1" x14ac:dyDescent="0.25">
      <c r="A28" s="742" t="s">
        <v>702</v>
      </c>
      <c r="B28" s="743"/>
      <c r="C28" s="533"/>
      <c r="D28" s="533"/>
      <c r="E28" s="534"/>
      <c r="F28" s="535">
        <f>F29+F30+F31</f>
        <v>286005000</v>
      </c>
      <c r="G28" s="536"/>
      <c r="H28" s="537"/>
      <c r="I28" s="537"/>
      <c r="K28" s="491"/>
      <c r="L28" s="491"/>
      <c r="O28" s="508"/>
    </row>
    <row r="29" spans="1:15" ht="15" customHeight="1" x14ac:dyDescent="0.25">
      <c r="A29" s="718" t="s">
        <v>955</v>
      </c>
      <c r="B29" s="720"/>
      <c r="C29" s="520"/>
      <c r="D29" s="522"/>
      <c r="E29" s="520"/>
      <c r="F29" s="520">
        <v>124405000</v>
      </c>
      <c r="G29" s="538"/>
      <c r="H29" s="539"/>
      <c r="I29" s="539"/>
      <c r="K29" s="491"/>
      <c r="O29" s="508"/>
    </row>
    <row r="30" spans="1:15" ht="15" customHeight="1" x14ac:dyDescent="0.25">
      <c r="A30" s="718" t="s">
        <v>956</v>
      </c>
      <c r="B30" s="720"/>
      <c r="C30" s="520"/>
      <c r="D30" s="522"/>
      <c r="E30" s="520"/>
      <c r="F30" s="520">
        <v>161600000</v>
      </c>
      <c r="G30" s="538"/>
      <c r="H30" s="540"/>
      <c r="I30" s="539"/>
    </row>
    <row r="31" spans="1:15" s="490" customFormat="1" ht="15" customHeight="1" x14ac:dyDescent="0.25">
      <c r="A31" s="718" t="s">
        <v>838</v>
      </c>
      <c r="B31" s="720"/>
      <c r="C31" s="520"/>
      <c r="D31" s="522"/>
      <c r="E31" s="520"/>
      <c r="F31" s="520">
        <v>0</v>
      </c>
      <c r="G31" s="538"/>
      <c r="H31" s="541"/>
      <c r="I31" s="541"/>
      <c r="K31" s="492"/>
      <c r="L31" s="491"/>
      <c r="M31" s="492"/>
      <c r="N31" s="492"/>
    </row>
    <row r="32" spans="1:15" s="490" customFormat="1" ht="15" customHeight="1" x14ac:dyDescent="0.25">
      <c r="A32" s="542"/>
      <c r="B32" s="543"/>
      <c r="C32" s="544"/>
      <c r="D32" s="544"/>
      <c r="E32" s="544"/>
      <c r="F32" s="544"/>
      <c r="G32" s="545"/>
      <c r="H32" s="541"/>
      <c r="I32" s="546"/>
      <c r="K32" s="492"/>
      <c r="L32" s="492"/>
      <c r="M32" s="492"/>
      <c r="N32" s="492"/>
    </row>
    <row r="33" spans="1:14" s="490" customFormat="1" ht="15" customHeight="1" x14ac:dyDescent="0.25">
      <c r="B33" s="703" t="s">
        <v>957</v>
      </c>
      <c r="C33" s="703"/>
      <c r="D33" s="726" t="s">
        <v>958</v>
      </c>
      <c r="E33" s="726"/>
      <c r="F33" s="727" t="s">
        <v>959</v>
      </c>
      <c r="G33" s="727"/>
      <c r="H33" s="727"/>
      <c r="I33" s="727"/>
      <c r="K33" s="492"/>
      <c r="L33" s="492"/>
      <c r="M33" s="492"/>
      <c r="N33" s="492"/>
    </row>
    <row r="34" spans="1:14" s="490" customFormat="1" ht="15" customHeight="1" x14ac:dyDescent="0.25">
      <c r="B34" s="728">
        <f>G10</f>
        <v>481666176</v>
      </c>
      <c r="C34" s="720"/>
      <c r="D34" s="728">
        <f>G17</f>
        <v>455705157</v>
      </c>
      <c r="E34" s="729"/>
      <c r="F34" s="730">
        <f>G10-G17</f>
        <v>25961019</v>
      </c>
      <c r="G34" s="731"/>
      <c r="H34" s="731"/>
      <c r="I34" s="732"/>
      <c r="K34" s="547">
        <f>+F34/D34</f>
        <v>5.6968894473142864E-2</v>
      </c>
      <c r="L34" s="492"/>
      <c r="M34" s="492"/>
      <c r="N34" s="492"/>
    </row>
    <row r="35" spans="1:14" s="490" customFormat="1" ht="15" customHeight="1" x14ac:dyDescent="0.25">
      <c r="D35" s="496"/>
      <c r="E35" s="548" t="s">
        <v>960</v>
      </c>
      <c r="F35" s="709">
        <f>G49+G47</f>
        <v>-25961019</v>
      </c>
      <c r="G35" s="710"/>
      <c r="H35" s="710"/>
      <c r="I35" s="711"/>
      <c r="K35" s="492"/>
      <c r="L35" s="492"/>
      <c r="M35" s="492"/>
      <c r="N35" s="492"/>
    </row>
    <row r="36" spans="1:14" s="490" customFormat="1" ht="15" customHeight="1" x14ac:dyDescent="0.25">
      <c r="D36" s="496"/>
      <c r="E36" s="549"/>
      <c r="F36" s="550"/>
      <c r="G36" s="550"/>
      <c r="H36" s="712"/>
      <c r="I36" s="712"/>
      <c r="J36" s="712"/>
      <c r="K36" s="492"/>
      <c r="L36" s="492"/>
      <c r="M36" s="492"/>
      <c r="N36" s="492"/>
    </row>
    <row r="37" spans="1:14" s="490" customFormat="1" ht="15" customHeight="1" x14ac:dyDescent="0.25">
      <c r="A37" s="713" t="s">
        <v>961</v>
      </c>
      <c r="B37" s="714"/>
      <c r="C37" s="714"/>
      <c r="D37" s="715"/>
      <c r="E37" s="713"/>
      <c r="F37" s="715"/>
      <c r="G37" s="713" t="s">
        <v>962</v>
      </c>
      <c r="H37" s="714"/>
      <c r="I37" s="715"/>
      <c r="K37" s="492"/>
      <c r="L37" s="492"/>
      <c r="M37" s="492"/>
      <c r="N37" s="492"/>
    </row>
    <row r="38" spans="1:14" s="490" customFormat="1" ht="18.75" hidden="1" customHeight="1" x14ac:dyDescent="0.25">
      <c r="A38" s="551" t="s">
        <v>963</v>
      </c>
      <c r="B38" s="551"/>
      <c r="C38" s="551"/>
      <c r="D38" s="551"/>
      <c r="E38" s="551"/>
      <c r="F38" s="551"/>
      <c r="G38" s="490">
        <f>G40</f>
        <v>0</v>
      </c>
      <c r="K38" s="492"/>
      <c r="L38" s="492"/>
      <c r="M38" s="492"/>
      <c r="N38" s="492"/>
    </row>
    <row r="39" spans="1:14" s="490" customFormat="1" ht="18.75" hidden="1" customHeight="1" x14ac:dyDescent="0.25">
      <c r="K39" s="492"/>
      <c r="L39" s="492"/>
      <c r="M39" s="492"/>
      <c r="N39" s="492"/>
    </row>
    <row r="40" spans="1:14" s="490" customFormat="1" ht="18.75" hidden="1" customHeight="1" x14ac:dyDescent="0.25">
      <c r="A40" s="552" t="s">
        <v>964</v>
      </c>
      <c r="B40" s="552"/>
      <c r="C40" s="552"/>
      <c r="D40" s="553"/>
      <c r="E40" s="552"/>
      <c r="F40" s="554"/>
      <c r="G40" s="490">
        <f>SUM(G41:I43)</f>
        <v>0</v>
      </c>
      <c r="K40" s="492"/>
      <c r="L40" s="492"/>
      <c r="M40" s="492"/>
      <c r="N40" s="492"/>
    </row>
    <row r="41" spans="1:14" s="490" customFormat="1" ht="18.75" hidden="1" customHeight="1" x14ac:dyDescent="0.25">
      <c r="A41" s="490" t="s">
        <v>965</v>
      </c>
      <c r="D41" s="555"/>
      <c r="F41" s="556"/>
      <c r="K41" s="492"/>
      <c r="L41" s="492"/>
      <c r="M41" s="492"/>
      <c r="N41" s="492"/>
    </row>
    <row r="42" spans="1:14" s="490" customFormat="1" ht="18.75" hidden="1" customHeight="1" x14ac:dyDescent="0.25">
      <c r="A42" s="490" t="s">
        <v>966</v>
      </c>
      <c r="D42" s="555"/>
      <c r="F42" s="557"/>
      <c r="K42" s="492"/>
      <c r="L42" s="492"/>
      <c r="M42" s="492"/>
      <c r="N42" s="492"/>
    </row>
    <row r="43" spans="1:14" s="490" customFormat="1" ht="18.75" hidden="1" customHeight="1" x14ac:dyDescent="0.25">
      <c r="A43" s="490" t="s">
        <v>967</v>
      </c>
      <c r="D43" s="555"/>
      <c r="F43" s="557"/>
      <c r="K43" s="492"/>
      <c r="L43" s="492"/>
      <c r="M43" s="492"/>
      <c r="N43" s="492"/>
    </row>
    <row r="44" spans="1:14" s="490" customFormat="1" ht="18.75" hidden="1" customHeight="1" x14ac:dyDescent="0.25">
      <c r="D44" s="555"/>
      <c r="F44" s="557"/>
      <c r="K44" s="492"/>
      <c r="L44" s="492"/>
      <c r="M44" s="492"/>
      <c r="N44" s="492"/>
    </row>
    <row r="45" spans="1:14" s="490" customFormat="1" ht="18.75" hidden="1" customHeight="1" x14ac:dyDescent="0.25">
      <c r="A45" s="558"/>
      <c r="B45" s="558"/>
      <c r="C45" s="558"/>
      <c r="D45" s="559"/>
      <c r="E45" s="558"/>
      <c r="F45" s="560"/>
      <c r="K45" s="492"/>
      <c r="L45" s="492"/>
      <c r="M45" s="492"/>
      <c r="N45" s="492"/>
    </row>
    <row r="46" spans="1:14" s="490" customFormat="1" ht="18.75" hidden="1" customHeight="1" x14ac:dyDescent="0.25">
      <c r="D46" s="555"/>
      <c r="F46" s="557"/>
      <c r="K46" s="492"/>
      <c r="L46" s="492"/>
      <c r="M46" s="492"/>
      <c r="N46" s="492"/>
    </row>
    <row r="47" spans="1:14" s="490" customFormat="1" ht="13.5" customHeight="1" x14ac:dyDescent="0.25">
      <c r="A47" s="716" t="s">
        <v>968</v>
      </c>
      <c r="B47" s="717"/>
      <c r="C47" s="718" t="s">
        <v>969</v>
      </c>
      <c r="D47" s="719"/>
      <c r="E47" s="719"/>
      <c r="F47" s="720"/>
      <c r="G47" s="709">
        <v>1500000</v>
      </c>
      <c r="H47" s="710"/>
      <c r="I47" s="711"/>
      <c r="K47" s="492"/>
      <c r="L47" s="492"/>
      <c r="M47" s="492"/>
      <c r="N47" s="492"/>
    </row>
    <row r="48" spans="1:14" s="490" customFormat="1" ht="18.75" customHeight="1" x14ac:dyDescent="0.25">
      <c r="D48" s="555"/>
      <c r="F48" s="557"/>
      <c r="K48" s="492"/>
      <c r="L48" s="492"/>
      <c r="M48" s="492"/>
      <c r="N48" s="492"/>
    </row>
    <row r="49" spans="1:14" s="490" customFormat="1" ht="15" customHeight="1" x14ac:dyDescent="0.25">
      <c r="A49" s="561" t="s">
        <v>970</v>
      </c>
      <c r="B49" s="562"/>
      <c r="C49" s="563"/>
      <c r="D49" s="563"/>
      <c r="E49" s="563"/>
      <c r="F49" s="563" t="s">
        <v>971</v>
      </c>
      <c r="G49" s="564">
        <f>G51+G56</f>
        <v>-27461019</v>
      </c>
      <c r="K49" s="492"/>
      <c r="L49" s="492"/>
      <c r="M49" s="492"/>
      <c r="N49" s="492"/>
    </row>
    <row r="50" spans="1:14" s="490" customFormat="1" ht="15" customHeight="1" x14ac:dyDescent="0.25">
      <c r="D50" s="555"/>
      <c r="F50" s="565"/>
      <c r="G50" s="566"/>
      <c r="H50" s="566"/>
      <c r="K50" s="492"/>
      <c r="L50" s="492"/>
      <c r="M50" s="492"/>
      <c r="N50" s="491">
        <f>F34+F35</f>
        <v>0</v>
      </c>
    </row>
    <row r="51" spans="1:14" s="490" customFormat="1" ht="27.75" customHeight="1" x14ac:dyDescent="0.25">
      <c r="A51" s="721" t="s">
        <v>964</v>
      </c>
      <c r="B51" s="722"/>
      <c r="C51" s="567"/>
      <c r="D51" s="567"/>
      <c r="E51" s="567"/>
      <c r="F51" s="567"/>
      <c r="G51" s="568">
        <f>SUM(G52:I55)</f>
        <v>-27461019</v>
      </c>
      <c r="K51" s="531"/>
      <c r="L51" s="492"/>
      <c r="M51" s="492"/>
      <c r="N51" s="492"/>
    </row>
    <row r="52" spans="1:14" s="490" customFormat="1" ht="15" customHeight="1" x14ac:dyDescent="0.25">
      <c r="A52" s="522" t="s">
        <v>972</v>
      </c>
      <c r="B52" s="522"/>
      <c r="C52" s="522"/>
      <c r="D52" s="519"/>
      <c r="E52" s="522"/>
      <c r="F52" s="522"/>
      <c r="G52" s="569">
        <v>0</v>
      </c>
      <c r="H52" s="555"/>
      <c r="I52" s="555"/>
      <c r="K52" s="492"/>
      <c r="L52" s="492"/>
      <c r="M52" s="492"/>
      <c r="N52" s="492"/>
    </row>
    <row r="53" spans="1:14" s="490" customFormat="1" ht="15" customHeight="1" x14ac:dyDescent="0.25">
      <c r="A53" s="522" t="s">
        <v>973</v>
      </c>
      <c r="B53" s="522"/>
      <c r="C53" s="522"/>
      <c r="D53" s="519"/>
      <c r="E53" s="522"/>
      <c r="F53" s="522"/>
      <c r="G53" s="569">
        <f>-GETPIVOTDATA("Soma de amortização",'anexo planofinanceiro'!$O$7)</f>
        <v>-23461019</v>
      </c>
      <c r="H53" s="570"/>
      <c r="I53" s="571"/>
      <c r="K53" s="492"/>
      <c r="L53" s="492"/>
      <c r="M53" s="492"/>
      <c r="N53" s="569"/>
    </row>
    <row r="54" spans="1:14" s="490" customFormat="1" ht="15" customHeight="1" x14ac:dyDescent="0.25">
      <c r="A54" s="522" t="s">
        <v>974</v>
      </c>
      <c r="B54" s="522"/>
      <c r="C54" s="522"/>
      <c r="D54" s="519"/>
      <c r="E54" s="522"/>
      <c r="F54" s="522"/>
      <c r="G54" s="519">
        <v>-4000000</v>
      </c>
      <c r="H54" s="555"/>
      <c r="I54" s="555"/>
      <c r="K54" s="492"/>
      <c r="L54" s="492"/>
      <c r="M54" s="492"/>
      <c r="N54" s="492"/>
    </row>
    <row r="55" spans="1:14" s="490" customFormat="1" ht="18.75" hidden="1" customHeight="1" x14ac:dyDescent="0.25">
      <c r="D55" s="555"/>
      <c r="G55" s="723"/>
      <c r="H55" s="723"/>
      <c r="I55" s="723"/>
      <c r="K55" s="492"/>
      <c r="L55" s="492"/>
      <c r="M55" s="492"/>
      <c r="N55" s="492"/>
    </row>
    <row r="56" spans="1:14" s="490" customFormat="1" ht="18.75" hidden="1" customHeight="1" x14ac:dyDescent="0.25">
      <c r="A56" s="552" t="s">
        <v>975</v>
      </c>
      <c r="B56" s="552"/>
      <c r="C56" s="552"/>
      <c r="D56" s="553"/>
      <c r="E56" s="552"/>
      <c r="F56" s="554"/>
      <c r="G56" s="724">
        <f>SUM(G57:I60)</f>
        <v>0</v>
      </c>
      <c r="H56" s="724"/>
      <c r="I56" s="724"/>
      <c r="K56" s="492"/>
      <c r="L56" s="492"/>
      <c r="M56" s="492"/>
      <c r="N56" s="492"/>
    </row>
    <row r="57" spans="1:14" s="490" customFormat="1" ht="18.75" hidden="1" customHeight="1" x14ac:dyDescent="0.25">
      <c r="D57" s="555"/>
      <c r="G57" s="555"/>
      <c r="H57" s="555"/>
      <c r="I57" s="555"/>
      <c r="K57" s="492"/>
      <c r="L57" s="492"/>
      <c r="M57" s="492"/>
      <c r="N57" s="492"/>
    </row>
    <row r="58" spans="1:14" s="490" customFormat="1" ht="18.75" hidden="1" customHeight="1" x14ac:dyDescent="0.25">
      <c r="A58" s="490" t="s">
        <v>972</v>
      </c>
      <c r="D58" s="555"/>
      <c r="G58" s="555"/>
      <c r="H58" s="555"/>
      <c r="I58" s="555"/>
      <c r="K58" s="492"/>
      <c r="L58" s="492"/>
      <c r="M58" s="492"/>
      <c r="N58" s="492"/>
    </row>
    <row r="59" spans="1:14" s="490" customFormat="1" hidden="1" x14ac:dyDescent="0.25">
      <c r="A59" s="490" t="s">
        <v>973</v>
      </c>
      <c r="D59" s="555"/>
      <c r="G59" s="555"/>
      <c r="H59" s="555"/>
      <c r="I59" s="555"/>
      <c r="K59" s="492"/>
      <c r="L59" s="492"/>
      <c r="M59" s="492"/>
      <c r="N59" s="492"/>
    </row>
    <row r="60" spans="1:14" s="490" customFormat="1" hidden="1" x14ac:dyDescent="0.25">
      <c r="D60" s="555"/>
      <c r="G60" s="555"/>
      <c r="H60" s="555"/>
      <c r="I60" s="555"/>
      <c r="K60" s="492"/>
      <c r="L60" s="492"/>
      <c r="M60" s="492"/>
      <c r="N60" s="492"/>
    </row>
    <row r="61" spans="1:14" s="490" customFormat="1" hidden="1" x14ac:dyDescent="0.25">
      <c r="D61" s="555"/>
      <c r="G61" s="555"/>
      <c r="H61" s="555"/>
      <c r="I61" s="555"/>
      <c r="K61" s="492"/>
      <c r="L61" s="492"/>
      <c r="M61" s="492"/>
      <c r="N61" s="492"/>
    </row>
    <row r="62" spans="1:14" s="490" customFormat="1" ht="42.75" customHeight="1" x14ac:dyDescent="0.25">
      <c r="B62" s="702" t="s">
        <v>976</v>
      </c>
      <c r="C62" s="702"/>
      <c r="D62" s="725" t="s">
        <v>977</v>
      </c>
      <c r="E62" s="725"/>
      <c r="G62" s="555"/>
      <c r="K62" s="492"/>
      <c r="L62" s="492"/>
      <c r="M62" s="492"/>
      <c r="N62" s="492"/>
    </row>
    <row r="63" spans="1:14" s="490" customFormat="1" ht="18.75" customHeight="1" x14ac:dyDescent="0.25">
      <c r="B63" s="707">
        <f>G47</f>
        <v>1500000</v>
      </c>
      <c r="C63" s="708"/>
      <c r="D63" s="707">
        <f>G49</f>
        <v>-27461019</v>
      </c>
      <c r="E63" s="708"/>
      <c r="F63" s="564">
        <f>D63-B63</f>
        <v>-28961019</v>
      </c>
      <c r="G63" s="572"/>
      <c r="K63" s="492"/>
      <c r="L63" s="492"/>
      <c r="M63" s="492"/>
      <c r="N63" s="492"/>
    </row>
    <row r="64" spans="1:14" s="490" customFormat="1" x14ac:dyDescent="0.25">
      <c r="G64" s="555"/>
      <c r="H64" s="555"/>
      <c r="I64" s="555"/>
      <c r="K64" s="492"/>
      <c r="L64" s="492"/>
      <c r="M64" s="492"/>
      <c r="N64" s="492"/>
    </row>
    <row r="65" spans="1:14" s="490" customFormat="1" x14ac:dyDescent="0.25">
      <c r="H65" s="497"/>
      <c r="I65" s="497"/>
      <c r="K65" s="492"/>
      <c r="L65" s="492"/>
      <c r="M65" s="492"/>
      <c r="N65" s="492"/>
    </row>
    <row r="66" spans="1:14" s="490" customFormat="1" x14ac:dyDescent="0.25">
      <c r="B66" s="702" t="s">
        <v>978</v>
      </c>
      <c r="C66" s="702"/>
      <c r="D66" s="702"/>
      <c r="E66" s="702"/>
      <c r="F66" s="702"/>
      <c r="G66" s="702"/>
      <c r="H66" s="702"/>
      <c r="I66" s="702"/>
      <c r="K66" s="492"/>
      <c r="L66" s="492"/>
      <c r="M66" s="492"/>
      <c r="N66" s="492">
        <f>+N53/12</f>
        <v>0</v>
      </c>
    </row>
    <row r="67" spans="1:14" ht="15" customHeight="1" x14ac:dyDescent="0.25">
      <c r="A67" s="490"/>
      <c r="B67" s="703" t="s">
        <v>979</v>
      </c>
      <c r="C67" s="703"/>
      <c r="D67" s="703" t="s">
        <v>960</v>
      </c>
      <c r="E67" s="703"/>
      <c r="F67" s="573"/>
      <c r="G67" s="498" t="s">
        <v>980</v>
      </c>
      <c r="H67" s="490"/>
      <c r="I67" s="490"/>
    </row>
    <row r="68" spans="1:14" ht="15.75" customHeight="1" x14ac:dyDescent="0.25">
      <c r="A68" s="490"/>
      <c r="B68" s="704">
        <f>F34</f>
        <v>25961019</v>
      </c>
      <c r="C68" s="705"/>
      <c r="D68" s="706">
        <f>F35</f>
        <v>-25961019</v>
      </c>
      <c r="E68" s="706"/>
      <c r="F68" s="574"/>
      <c r="G68" s="575">
        <f>B68+D68</f>
        <v>0</v>
      </c>
      <c r="H68" s="490"/>
      <c r="I68" s="490"/>
    </row>
    <row r="69" spans="1:14" s="490" customFormat="1" x14ac:dyDescent="0.25">
      <c r="H69" s="497"/>
      <c r="I69" s="497"/>
      <c r="K69" s="492"/>
      <c r="L69" s="492"/>
      <c r="M69" s="492"/>
      <c r="N69" s="492"/>
    </row>
    <row r="70" spans="1:14" s="490" customFormat="1" x14ac:dyDescent="0.25">
      <c r="H70" s="497"/>
      <c r="I70" s="497"/>
      <c r="K70" s="492"/>
      <c r="L70" s="492"/>
      <c r="M70" s="492"/>
      <c r="N70" s="492"/>
    </row>
    <row r="71" spans="1:14" s="490" customFormat="1" x14ac:dyDescent="0.25">
      <c r="H71" s="497"/>
      <c r="I71" s="497"/>
      <c r="K71" s="492"/>
      <c r="L71" s="492"/>
      <c r="M71" s="492"/>
      <c r="N71" s="492"/>
    </row>
    <row r="72" spans="1:14" s="490" customFormat="1" ht="15.75" x14ac:dyDescent="0.25">
      <c r="B72" s="366" t="s">
        <v>1131</v>
      </c>
      <c r="C72" s="366"/>
      <c r="D72" s="366"/>
      <c r="E72" s="366"/>
      <c r="H72" s="497"/>
      <c r="I72" s="497"/>
      <c r="K72" s="492"/>
      <c r="L72" s="492"/>
      <c r="M72" s="492"/>
      <c r="N72" s="492"/>
    </row>
    <row r="73" spans="1:14" s="490" customFormat="1" ht="15.75" x14ac:dyDescent="0.25">
      <c r="B73" s="478"/>
      <c r="C73" s="366"/>
      <c r="D73" s="366"/>
      <c r="E73" s="366"/>
      <c r="H73" s="497"/>
      <c r="I73" s="497"/>
      <c r="K73" s="492"/>
      <c r="L73" s="492"/>
      <c r="M73" s="492"/>
      <c r="N73" s="492"/>
    </row>
    <row r="74" spans="1:14" s="490" customFormat="1" ht="15.75" x14ac:dyDescent="0.25">
      <c r="B74" s="479" t="s">
        <v>377</v>
      </c>
      <c r="C74" s="479"/>
      <c r="D74" s="479"/>
      <c r="E74" s="479"/>
      <c r="F74" s="576"/>
      <c r="H74" s="497"/>
      <c r="I74" s="497"/>
      <c r="K74" s="492"/>
      <c r="L74" s="492"/>
      <c r="M74" s="492"/>
      <c r="N74" s="492"/>
    </row>
    <row r="75" spans="1:14" s="490" customFormat="1" ht="15.75" x14ac:dyDescent="0.25">
      <c r="B75" s="480"/>
      <c r="C75" s="481"/>
      <c r="D75" s="480"/>
      <c r="E75" s="480"/>
      <c r="H75" s="497"/>
      <c r="I75" s="497"/>
      <c r="K75" s="492"/>
      <c r="L75" s="492"/>
      <c r="M75" s="492"/>
      <c r="N75" s="492"/>
    </row>
    <row r="76" spans="1:14" s="490" customFormat="1" ht="15.75" x14ac:dyDescent="0.25">
      <c r="B76" s="483" t="s">
        <v>378</v>
      </c>
      <c r="C76" s="483"/>
      <c r="D76" s="483"/>
      <c r="E76" s="483"/>
      <c r="H76" s="497"/>
      <c r="I76" s="497"/>
      <c r="K76" s="492"/>
      <c r="L76" s="492"/>
      <c r="M76" s="492"/>
      <c r="N76" s="492"/>
    </row>
    <row r="77" spans="1:14" s="490" customFormat="1" ht="15.75" x14ac:dyDescent="0.25">
      <c r="B77" s="300" t="s">
        <v>379</v>
      </c>
      <c r="C77" s="300"/>
      <c r="D77" s="300"/>
      <c r="E77" s="300"/>
      <c r="H77" s="497"/>
      <c r="I77" s="497"/>
      <c r="K77" s="492"/>
      <c r="L77" s="492"/>
      <c r="M77" s="492"/>
      <c r="N77" s="492"/>
    </row>
    <row r="78" spans="1:14" s="490" customFormat="1" x14ac:dyDescent="0.25">
      <c r="H78" s="497"/>
      <c r="I78" s="497"/>
      <c r="K78" s="492"/>
      <c r="L78" s="492"/>
      <c r="M78" s="492"/>
      <c r="N78" s="492"/>
    </row>
    <row r="79" spans="1:14" s="490" customFormat="1" x14ac:dyDescent="0.25">
      <c r="H79" s="497"/>
      <c r="I79" s="497"/>
      <c r="K79" s="492"/>
      <c r="L79" s="492"/>
      <c r="M79" s="492"/>
      <c r="N79" s="492"/>
    </row>
    <row r="80" spans="1:14" s="490" customFormat="1" x14ac:dyDescent="0.25">
      <c r="H80" s="497"/>
      <c r="I80" s="497"/>
      <c r="K80" s="492"/>
      <c r="L80" s="492"/>
      <c r="M80" s="492"/>
      <c r="N80" s="492"/>
    </row>
    <row r="81" spans="8:14" s="490" customFormat="1" x14ac:dyDescent="0.25">
      <c r="H81" s="497"/>
      <c r="I81" s="497"/>
      <c r="K81" s="492"/>
      <c r="L81" s="492"/>
      <c r="M81" s="492"/>
      <c r="N81" s="492"/>
    </row>
    <row r="82" spans="8:14" s="490" customFormat="1" x14ac:dyDescent="0.25">
      <c r="H82" s="497"/>
      <c r="I82" s="497"/>
      <c r="K82" s="492"/>
      <c r="L82" s="492"/>
      <c r="M82" s="492"/>
      <c r="N82" s="492"/>
    </row>
    <row r="83" spans="8:14" s="490" customFormat="1" x14ac:dyDescent="0.25">
      <c r="H83" s="497"/>
      <c r="I83" s="497"/>
      <c r="K83" s="492"/>
      <c r="L83" s="492"/>
      <c r="M83" s="492"/>
      <c r="N83" s="492"/>
    </row>
    <row r="84" spans="8:14" s="490" customFormat="1" x14ac:dyDescent="0.25">
      <c r="H84" s="497"/>
      <c r="I84" s="497"/>
      <c r="K84" s="492"/>
      <c r="L84" s="492"/>
      <c r="M84" s="492"/>
      <c r="N84" s="492"/>
    </row>
    <row r="85" spans="8:14" s="490" customFormat="1" x14ac:dyDescent="0.25">
      <c r="H85" s="497"/>
      <c r="I85" s="497"/>
      <c r="K85" s="492"/>
      <c r="L85" s="492"/>
      <c r="M85" s="492"/>
      <c r="N85" s="492"/>
    </row>
    <row r="86" spans="8:14" s="490" customFormat="1" x14ac:dyDescent="0.25">
      <c r="H86" s="497"/>
      <c r="I86" s="497"/>
      <c r="K86" s="492"/>
      <c r="L86" s="492"/>
      <c r="M86" s="492"/>
      <c r="N86" s="492"/>
    </row>
    <row r="87" spans="8:14" s="490" customFormat="1" x14ac:dyDescent="0.25">
      <c r="H87" s="497"/>
      <c r="I87" s="497"/>
      <c r="K87" s="492"/>
      <c r="L87" s="492"/>
      <c r="M87" s="492"/>
      <c r="N87" s="492"/>
    </row>
    <row r="88" spans="8:14" s="490" customFormat="1" x14ac:dyDescent="0.25">
      <c r="H88" s="497"/>
      <c r="I88" s="497"/>
      <c r="K88" s="492"/>
      <c r="L88" s="492"/>
      <c r="M88" s="492"/>
      <c r="N88" s="492"/>
    </row>
    <row r="89" spans="8:14" s="490" customFormat="1" x14ac:dyDescent="0.25">
      <c r="H89" s="497"/>
      <c r="I89" s="497"/>
      <c r="K89" s="492"/>
      <c r="L89" s="492"/>
      <c r="M89" s="492"/>
      <c r="N89" s="492"/>
    </row>
    <row r="90" spans="8:14" s="490" customFormat="1" x14ac:dyDescent="0.25">
      <c r="H90" s="497"/>
      <c r="I90" s="497"/>
      <c r="K90" s="492"/>
      <c r="L90" s="492"/>
      <c r="M90" s="492"/>
      <c r="N90" s="492"/>
    </row>
    <row r="91" spans="8:14" s="490" customFormat="1" x14ac:dyDescent="0.25">
      <c r="H91" s="497"/>
      <c r="I91" s="497"/>
      <c r="K91" s="492"/>
      <c r="L91" s="492"/>
      <c r="M91" s="492"/>
      <c r="N91" s="492"/>
    </row>
    <row r="92" spans="8:14" s="490" customFormat="1" x14ac:dyDescent="0.25">
      <c r="H92" s="497"/>
      <c r="I92" s="497"/>
      <c r="K92" s="492"/>
      <c r="L92" s="492"/>
      <c r="M92" s="492"/>
      <c r="N92" s="492"/>
    </row>
    <row r="93" spans="8:14" s="490" customFormat="1" x14ac:dyDescent="0.25">
      <c r="H93" s="497"/>
      <c r="I93" s="497"/>
      <c r="K93" s="492"/>
      <c r="L93" s="492"/>
      <c r="M93" s="492"/>
      <c r="N93" s="492"/>
    </row>
    <row r="94" spans="8:14" s="490" customFormat="1" x14ac:dyDescent="0.25">
      <c r="H94" s="497"/>
      <c r="I94" s="497"/>
      <c r="K94" s="492"/>
      <c r="L94" s="492"/>
      <c r="M94" s="492"/>
      <c r="N94" s="492"/>
    </row>
    <row r="95" spans="8:14" s="490" customFormat="1" x14ac:dyDescent="0.25">
      <c r="H95" s="497"/>
      <c r="I95" s="497"/>
      <c r="K95" s="492"/>
      <c r="L95" s="492"/>
      <c r="M95" s="492"/>
      <c r="N95" s="492"/>
    </row>
    <row r="96" spans="8:14" s="490" customFormat="1" x14ac:dyDescent="0.25">
      <c r="H96" s="497"/>
      <c r="I96" s="497"/>
      <c r="K96" s="492"/>
      <c r="L96" s="492"/>
      <c r="M96" s="492"/>
      <c r="N96" s="492"/>
    </row>
    <row r="97" spans="8:14" s="490" customFormat="1" x14ac:dyDescent="0.25">
      <c r="H97" s="497"/>
      <c r="I97" s="497"/>
      <c r="K97" s="492"/>
      <c r="L97" s="492"/>
      <c r="M97" s="492"/>
      <c r="N97" s="492"/>
    </row>
    <row r="98" spans="8:14" s="490" customFormat="1" x14ac:dyDescent="0.25">
      <c r="H98" s="497"/>
      <c r="I98" s="497"/>
      <c r="K98" s="492"/>
      <c r="L98" s="492"/>
      <c r="M98" s="492"/>
      <c r="N98" s="492"/>
    </row>
    <row r="99" spans="8:14" s="490" customFormat="1" x14ac:dyDescent="0.25">
      <c r="H99" s="497"/>
      <c r="I99" s="497"/>
      <c r="K99" s="492"/>
      <c r="L99" s="492"/>
      <c r="M99" s="492"/>
      <c r="N99" s="492"/>
    </row>
    <row r="100" spans="8:14" s="490" customFormat="1" x14ac:dyDescent="0.25">
      <c r="H100" s="497"/>
      <c r="I100" s="497"/>
      <c r="K100" s="492"/>
      <c r="L100" s="492"/>
      <c r="M100" s="492"/>
      <c r="N100" s="492"/>
    </row>
    <row r="101" spans="8:14" s="490" customFormat="1" x14ac:dyDescent="0.25">
      <c r="H101" s="497"/>
      <c r="I101" s="497"/>
      <c r="K101" s="492"/>
      <c r="L101" s="492"/>
      <c r="M101" s="492"/>
      <c r="N101" s="492"/>
    </row>
    <row r="102" spans="8:14" s="490" customFormat="1" x14ac:dyDescent="0.25">
      <c r="H102" s="497"/>
      <c r="I102" s="497"/>
      <c r="K102" s="492"/>
      <c r="L102" s="492"/>
      <c r="M102" s="492"/>
      <c r="N102" s="492"/>
    </row>
    <row r="103" spans="8:14" s="490" customFormat="1" x14ac:dyDescent="0.25">
      <c r="H103" s="497"/>
      <c r="I103" s="497"/>
      <c r="K103" s="492"/>
      <c r="L103" s="492"/>
      <c r="M103" s="492"/>
      <c r="N103" s="492"/>
    </row>
  </sheetData>
  <mergeCells count="39">
    <mergeCell ref="K9:L9"/>
    <mergeCell ref="A10:B10"/>
    <mergeCell ref="A30:B30"/>
    <mergeCell ref="A2:I2"/>
    <mergeCell ref="A5:I5"/>
    <mergeCell ref="A6:I6"/>
    <mergeCell ref="A7:I7"/>
    <mergeCell ref="K13:L13"/>
    <mergeCell ref="A17:B17"/>
    <mergeCell ref="A27:I27"/>
    <mergeCell ref="A28:B28"/>
    <mergeCell ref="A29:B29"/>
    <mergeCell ref="A31:B31"/>
    <mergeCell ref="B33:C33"/>
    <mergeCell ref="D33:E33"/>
    <mergeCell ref="F33:I33"/>
    <mergeCell ref="B34:C34"/>
    <mergeCell ref="D34:E34"/>
    <mergeCell ref="F34:I34"/>
    <mergeCell ref="B63:C63"/>
    <mergeCell ref="D63:E63"/>
    <mergeCell ref="F35:I35"/>
    <mergeCell ref="H36:J36"/>
    <mergeCell ref="A37:D37"/>
    <mergeCell ref="E37:F37"/>
    <mergeCell ref="G37:I37"/>
    <mergeCell ref="A47:B47"/>
    <mergeCell ref="C47:F47"/>
    <mergeCell ref="G47:I47"/>
    <mergeCell ref="A51:B51"/>
    <mergeCell ref="G55:I55"/>
    <mergeCell ref="G56:I56"/>
    <mergeCell ref="B62:C62"/>
    <mergeCell ref="D62:E62"/>
    <mergeCell ref="B66:I66"/>
    <mergeCell ref="B67:C67"/>
    <mergeCell ref="D67:E67"/>
    <mergeCell ref="B68:C68"/>
    <mergeCell ref="D68:E68"/>
  </mergeCells>
  <conditionalFormatting sqref="K10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59055118110236227" right="0.19685039370078741" top="0.74803149606299213" bottom="0.35433070866141736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03"/>
  <sheetViews>
    <sheetView topLeftCell="A51" workbookViewId="0">
      <selection activeCell="A61" sqref="A61:A103"/>
    </sheetView>
  </sheetViews>
  <sheetFormatPr defaultRowHeight="15" x14ac:dyDescent="0.25"/>
  <cols>
    <col min="2" max="2" width="106.5703125" bestFit="1" customWidth="1"/>
  </cols>
  <sheetData>
    <row r="1" spans="1:4" x14ac:dyDescent="0.25">
      <c r="A1">
        <f>+MATCH(B1,D:D,0)</f>
        <v>1</v>
      </c>
      <c r="B1" t="s">
        <v>931</v>
      </c>
      <c r="C1">
        <f>+MATCH(D1,B:B,0)</f>
        <v>1</v>
      </c>
      <c r="D1" t="s">
        <v>931</v>
      </c>
    </row>
    <row r="2" spans="1:4" x14ac:dyDescent="0.25">
      <c r="A2">
        <f t="shared" ref="A2:A57" si="0">+MATCH(B2,D:D,0)</f>
        <v>2</v>
      </c>
      <c r="B2" t="s">
        <v>872</v>
      </c>
      <c r="C2">
        <f t="shared" ref="C2:C57" si="1">+MATCH(D2,B:B,0)</f>
        <v>2</v>
      </c>
      <c r="D2" t="s">
        <v>872</v>
      </c>
    </row>
    <row r="3" spans="1:4" x14ac:dyDescent="0.25">
      <c r="A3">
        <f t="shared" si="0"/>
        <v>3</v>
      </c>
      <c r="B3" t="s">
        <v>859</v>
      </c>
      <c r="C3">
        <f t="shared" si="1"/>
        <v>3</v>
      </c>
      <c r="D3" t="s">
        <v>859</v>
      </c>
    </row>
    <row r="4" spans="1:4" x14ac:dyDescent="0.25">
      <c r="A4">
        <f t="shared" si="0"/>
        <v>4</v>
      </c>
      <c r="B4" t="s">
        <v>877</v>
      </c>
      <c r="C4">
        <f t="shared" si="1"/>
        <v>4</v>
      </c>
      <c r="D4" t="s">
        <v>877</v>
      </c>
    </row>
    <row r="5" spans="1:4" x14ac:dyDescent="0.25">
      <c r="A5">
        <f t="shared" si="0"/>
        <v>5</v>
      </c>
      <c r="B5" t="s">
        <v>880</v>
      </c>
      <c r="C5">
        <f t="shared" si="1"/>
        <v>5</v>
      </c>
      <c r="D5" t="s">
        <v>880</v>
      </c>
    </row>
    <row r="6" spans="1:4" x14ac:dyDescent="0.25">
      <c r="A6">
        <f t="shared" si="0"/>
        <v>6</v>
      </c>
      <c r="B6" t="s">
        <v>860</v>
      </c>
      <c r="C6">
        <f t="shared" si="1"/>
        <v>6</v>
      </c>
      <c r="D6" t="s">
        <v>860</v>
      </c>
    </row>
    <row r="7" spans="1:4" x14ac:dyDescent="0.25">
      <c r="A7">
        <f t="shared" si="0"/>
        <v>7</v>
      </c>
      <c r="B7" t="s">
        <v>919</v>
      </c>
      <c r="C7">
        <f t="shared" si="1"/>
        <v>7</v>
      </c>
      <c r="D7" t="s">
        <v>919</v>
      </c>
    </row>
    <row r="8" spans="1:4" x14ac:dyDescent="0.25">
      <c r="A8">
        <f t="shared" si="0"/>
        <v>8</v>
      </c>
      <c r="B8" t="s">
        <v>773</v>
      </c>
      <c r="C8">
        <f t="shared" si="1"/>
        <v>8</v>
      </c>
      <c r="D8" t="s">
        <v>773</v>
      </c>
    </row>
    <row r="9" spans="1:4" x14ac:dyDescent="0.25">
      <c r="A9">
        <f t="shared" si="0"/>
        <v>9</v>
      </c>
      <c r="B9" t="s">
        <v>866</v>
      </c>
      <c r="C9">
        <f t="shared" si="1"/>
        <v>9</v>
      </c>
      <c r="D9" t="s">
        <v>866</v>
      </c>
    </row>
    <row r="10" spans="1:4" x14ac:dyDescent="0.25">
      <c r="A10">
        <f t="shared" si="0"/>
        <v>10</v>
      </c>
      <c r="B10" t="s">
        <v>779</v>
      </c>
      <c r="C10">
        <f t="shared" si="1"/>
        <v>10</v>
      </c>
      <c r="D10" t="s">
        <v>779</v>
      </c>
    </row>
    <row r="11" spans="1:4" x14ac:dyDescent="0.25">
      <c r="A11">
        <f t="shared" si="0"/>
        <v>11</v>
      </c>
      <c r="B11" t="s">
        <v>754</v>
      </c>
      <c r="C11">
        <f t="shared" si="1"/>
        <v>11</v>
      </c>
      <c r="D11" t="s">
        <v>754</v>
      </c>
    </row>
    <row r="12" spans="1:4" x14ac:dyDescent="0.25">
      <c r="A12">
        <f t="shared" si="0"/>
        <v>12</v>
      </c>
      <c r="B12" t="s">
        <v>924</v>
      </c>
      <c r="C12">
        <f t="shared" si="1"/>
        <v>12</v>
      </c>
      <c r="D12" t="s">
        <v>924</v>
      </c>
    </row>
    <row r="13" spans="1:4" x14ac:dyDescent="0.25">
      <c r="A13">
        <f t="shared" si="0"/>
        <v>13</v>
      </c>
      <c r="B13" t="s">
        <v>923</v>
      </c>
      <c r="C13">
        <f t="shared" si="1"/>
        <v>13</v>
      </c>
      <c r="D13" t="s">
        <v>923</v>
      </c>
    </row>
    <row r="14" spans="1:4" x14ac:dyDescent="0.25">
      <c r="A14">
        <f t="shared" si="0"/>
        <v>14</v>
      </c>
      <c r="B14" t="s">
        <v>921</v>
      </c>
      <c r="C14">
        <f t="shared" si="1"/>
        <v>14</v>
      </c>
      <c r="D14" t="s">
        <v>921</v>
      </c>
    </row>
    <row r="15" spans="1:4" x14ac:dyDescent="0.25">
      <c r="A15">
        <f t="shared" si="0"/>
        <v>15</v>
      </c>
      <c r="B15" t="s">
        <v>758</v>
      </c>
      <c r="C15">
        <f t="shared" si="1"/>
        <v>15</v>
      </c>
      <c r="D15" t="s">
        <v>758</v>
      </c>
    </row>
    <row r="16" spans="1:4" x14ac:dyDescent="0.25">
      <c r="A16">
        <f t="shared" si="0"/>
        <v>16</v>
      </c>
      <c r="B16" t="s">
        <v>735</v>
      </c>
      <c r="C16">
        <f t="shared" si="1"/>
        <v>16</v>
      </c>
      <c r="D16" t="s">
        <v>735</v>
      </c>
    </row>
    <row r="17" spans="1:4" x14ac:dyDescent="0.25">
      <c r="A17">
        <f t="shared" si="0"/>
        <v>19</v>
      </c>
      <c r="B17" t="s">
        <v>889</v>
      </c>
      <c r="C17" t="e">
        <f t="shared" si="1"/>
        <v>#N/A</v>
      </c>
      <c r="D17" t="s">
        <v>922</v>
      </c>
    </row>
    <row r="18" spans="1:4" x14ac:dyDescent="0.25">
      <c r="A18">
        <f t="shared" si="0"/>
        <v>21</v>
      </c>
      <c r="B18" t="s">
        <v>898</v>
      </c>
      <c r="C18" t="e">
        <f t="shared" si="1"/>
        <v>#N/A</v>
      </c>
      <c r="D18" t="s">
        <v>918</v>
      </c>
    </row>
    <row r="19" spans="1:4" x14ac:dyDescent="0.25">
      <c r="A19" t="e">
        <f t="shared" si="0"/>
        <v>#N/A</v>
      </c>
      <c r="B19" t="s">
        <v>752</v>
      </c>
      <c r="C19">
        <f t="shared" si="1"/>
        <v>17</v>
      </c>
      <c r="D19" t="s">
        <v>889</v>
      </c>
    </row>
    <row r="20" spans="1:4" x14ac:dyDescent="0.25">
      <c r="A20">
        <f t="shared" si="0"/>
        <v>22</v>
      </c>
      <c r="B20" t="s">
        <v>1033</v>
      </c>
      <c r="C20" t="e">
        <f t="shared" si="1"/>
        <v>#N/A</v>
      </c>
      <c r="D20" t="s">
        <v>867</v>
      </c>
    </row>
    <row r="21" spans="1:4" x14ac:dyDescent="0.25">
      <c r="A21">
        <f t="shared" si="0"/>
        <v>23</v>
      </c>
      <c r="B21" t="s">
        <v>764</v>
      </c>
      <c r="C21">
        <f t="shared" si="1"/>
        <v>18</v>
      </c>
      <c r="D21" t="s">
        <v>898</v>
      </c>
    </row>
    <row r="22" spans="1:4" x14ac:dyDescent="0.25">
      <c r="A22">
        <f t="shared" si="0"/>
        <v>24</v>
      </c>
      <c r="B22" t="s">
        <v>911</v>
      </c>
      <c r="C22">
        <f t="shared" si="1"/>
        <v>20</v>
      </c>
      <c r="D22" t="s">
        <v>1033</v>
      </c>
    </row>
    <row r="23" spans="1:4" x14ac:dyDescent="0.25">
      <c r="A23" t="e">
        <f t="shared" si="0"/>
        <v>#N/A</v>
      </c>
      <c r="B23" t="s">
        <v>842</v>
      </c>
      <c r="C23">
        <f t="shared" si="1"/>
        <v>21</v>
      </c>
      <c r="D23" t="s">
        <v>764</v>
      </c>
    </row>
    <row r="24" spans="1:4" x14ac:dyDescent="0.25">
      <c r="A24" t="e">
        <f t="shared" si="0"/>
        <v>#N/A</v>
      </c>
      <c r="B24" t="s">
        <v>1029</v>
      </c>
      <c r="C24">
        <f t="shared" si="1"/>
        <v>22</v>
      </c>
      <c r="D24" t="s">
        <v>911</v>
      </c>
    </row>
    <row r="25" spans="1:4" x14ac:dyDescent="0.25">
      <c r="A25">
        <f t="shared" si="0"/>
        <v>25</v>
      </c>
      <c r="B25" t="s">
        <v>871</v>
      </c>
      <c r="C25">
        <f t="shared" si="1"/>
        <v>25</v>
      </c>
      <c r="D25" t="s">
        <v>871</v>
      </c>
    </row>
    <row r="26" spans="1:4" x14ac:dyDescent="0.25">
      <c r="A26">
        <f t="shared" si="0"/>
        <v>26</v>
      </c>
      <c r="B26" t="s">
        <v>857</v>
      </c>
      <c r="C26">
        <f t="shared" si="1"/>
        <v>26</v>
      </c>
      <c r="D26" t="s">
        <v>857</v>
      </c>
    </row>
    <row r="27" spans="1:4" x14ac:dyDescent="0.25">
      <c r="A27">
        <f t="shared" si="0"/>
        <v>27</v>
      </c>
      <c r="B27" t="s">
        <v>787</v>
      </c>
      <c r="C27">
        <f t="shared" si="1"/>
        <v>27</v>
      </c>
      <c r="D27" t="s">
        <v>787</v>
      </c>
    </row>
    <row r="28" spans="1:4" x14ac:dyDescent="0.25">
      <c r="A28">
        <f t="shared" si="0"/>
        <v>28</v>
      </c>
      <c r="B28" t="s">
        <v>763</v>
      </c>
      <c r="C28">
        <f t="shared" si="1"/>
        <v>28</v>
      </c>
      <c r="D28" t="s">
        <v>763</v>
      </c>
    </row>
    <row r="29" spans="1:4" x14ac:dyDescent="0.25">
      <c r="A29" t="e">
        <f t="shared" si="0"/>
        <v>#N/A</v>
      </c>
      <c r="B29" t="s">
        <v>1032</v>
      </c>
      <c r="C29" t="e">
        <f t="shared" si="1"/>
        <v>#N/A</v>
      </c>
      <c r="D29" t="s">
        <v>902</v>
      </c>
    </row>
    <row r="30" spans="1:4" x14ac:dyDescent="0.25">
      <c r="A30">
        <f t="shared" si="0"/>
        <v>31</v>
      </c>
      <c r="B30" t="s">
        <v>896</v>
      </c>
      <c r="C30" t="e">
        <f t="shared" si="1"/>
        <v>#N/A</v>
      </c>
      <c r="D30" t="s">
        <v>905</v>
      </c>
    </row>
    <row r="31" spans="1:4" x14ac:dyDescent="0.25">
      <c r="A31">
        <f t="shared" si="0"/>
        <v>32</v>
      </c>
      <c r="B31" t="s">
        <v>757</v>
      </c>
      <c r="C31">
        <f t="shared" si="1"/>
        <v>30</v>
      </c>
      <c r="D31" t="s">
        <v>896</v>
      </c>
    </row>
    <row r="32" spans="1:4" x14ac:dyDescent="0.25">
      <c r="A32" t="e">
        <f t="shared" si="0"/>
        <v>#N/A</v>
      </c>
      <c r="B32" t="s">
        <v>1031</v>
      </c>
      <c r="C32">
        <f t="shared" si="1"/>
        <v>31</v>
      </c>
      <c r="D32" t="s">
        <v>757</v>
      </c>
    </row>
    <row r="33" spans="1:4" x14ac:dyDescent="0.25">
      <c r="A33">
        <f t="shared" si="0"/>
        <v>34</v>
      </c>
      <c r="B33" t="s">
        <v>753</v>
      </c>
      <c r="C33" t="e">
        <f t="shared" si="1"/>
        <v>#N/A</v>
      </c>
      <c r="D33" t="s">
        <v>751</v>
      </c>
    </row>
    <row r="34" spans="1:4" x14ac:dyDescent="0.25">
      <c r="A34">
        <f t="shared" si="0"/>
        <v>35</v>
      </c>
      <c r="B34" t="s">
        <v>745</v>
      </c>
      <c r="C34">
        <f t="shared" si="1"/>
        <v>33</v>
      </c>
      <c r="D34" t="s">
        <v>753</v>
      </c>
    </row>
    <row r="35" spans="1:4" x14ac:dyDescent="0.25">
      <c r="A35">
        <f t="shared" si="0"/>
        <v>36</v>
      </c>
      <c r="B35" t="s">
        <v>908</v>
      </c>
      <c r="C35">
        <f t="shared" si="1"/>
        <v>34</v>
      </c>
      <c r="D35" t="s">
        <v>745</v>
      </c>
    </row>
    <row r="36" spans="1:4" x14ac:dyDescent="0.25">
      <c r="A36" t="e">
        <f t="shared" si="0"/>
        <v>#N/A</v>
      </c>
      <c r="B36" t="s">
        <v>1026</v>
      </c>
      <c r="C36">
        <f t="shared" si="1"/>
        <v>35</v>
      </c>
      <c r="D36" t="s">
        <v>908</v>
      </c>
    </row>
    <row r="37" spans="1:4" x14ac:dyDescent="0.25">
      <c r="A37">
        <f t="shared" si="0"/>
        <v>38</v>
      </c>
      <c r="B37" t="s">
        <v>766</v>
      </c>
      <c r="C37" t="e">
        <f t="shared" si="1"/>
        <v>#N/A</v>
      </c>
      <c r="D37" t="s">
        <v>852</v>
      </c>
    </row>
    <row r="38" spans="1:4" x14ac:dyDescent="0.25">
      <c r="A38">
        <f t="shared" si="0"/>
        <v>40</v>
      </c>
      <c r="B38" t="s">
        <v>755</v>
      </c>
      <c r="C38">
        <f t="shared" si="1"/>
        <v>37</v>
      </c>
      <c r="D38" t="s">
        <v>766</v>
      </c>
    </row>
    <row r="39" spans="1:4" x14ac:dyDescent="0.25">
      <c r="A39">
        <f t="shared" si="0"/>
        <v>41</v>
      </c>
      <c r="B39" t="s">
        <v>850</v>
      </c>
      <c r="C39" t="e">
        <f t="shared" si="1"/>
        <v>#N/A</v>
      </c>
      <c r="D39" t="s">
        <v>906</v>
      </c>
    </row>
    <row r="40" spans="1:4" x14ac:dyDescent="0.25">
      <c r="A40">
        <f t="shared" si="0"/>
        <v>42</v>
      </c>
      <c r="B40" t="s">
        <v>878</v>
      </c>
      <c r="C40">
        <f t="shared" si="1"/>
        <v>38</v>
      </c>
      <c r="D40" t="s">
        <v>755</v>
      </c>
    </row>
    <row r="41" spans="1:4" x14ac:dyDescent="0.25">
      <c r="A41" t="e">
        <f t="shared" si="0"/>
        <v>#N/A</v>
      </c>
      <c r="B41" t="s">
        <v>1030</v>
      </c>
      <c r="C41">
        <f t="shared" si="1"/>
        <v>39</v>
      </c>
      <c r="D41" t="s">
        <v>850</v>
      </c>
    </row>
    <row r="42" spans="1:4" x14ac:dyDescent="0.25">
      <c r="A42">
        <f t="shared" si="0"/>
        <v>44</v>
      </c>
      <c r="B42" t="s">
        <v>750</v>
      </c>
      <c r="C42">
        <f t="shared" si="1"/>
        <v>40</v>
      </c>
      <c r="D42" t="s">
        <v>878</v>
      </c>
    </row>
    <row r="43" spans="1:4" x14ac:dyDescent="0.25">
      <c r="A43" t="e">
        <f t="shared" si="0"/>
        <v>#N/A</v>
      </c>
      <c r="B43" t="s">
        <v>1027</v>
      </c>
      <c r="C43" t="e">
        <f t="shared" si="1"/>
        <v>#N/A</v>
      </c>
      <c r="D43" t="s">
        <v>926</v>
      </c>
    </row>
    <row r="44" spans="1:4" x14ac:dyDescent="0.25">
      <c r="A44">
        <f t="shared" si="0"/>
        <v>46</v>
      </c>
      <c r="B44" t="s">
        <v>916</v>
      </c>
      <c r="C44">
        <f t="shared" si="1"/>
        <v>42</v>
      </c>
      <c r="D44" t="s">
        <v>750</v>
      </c>
    </row>
    <row r="45" spans="1:4" x14ac:dyDescent="0.25">
      <c r="A45">
        <f t="shared" si="0"/>
        <v>47</v>
      </c>
      <c r="B45" t="s">
        <v>899</v>
      </c>
      <c r="C45" t="e">
        <f t="shared" si="1"/>
        <v>#N/A</v>
      </c>
      <c r="D45" t="s">
        <v>917</v>
      </c>
    </row>
    <row r="46" spans="1:4" x14ac:dyDescent="0.25">
      <c r="A46">
        <f t="shared" si="0"/>
        <v>48</v>
      </c>
      <c r="B46" t="s">
        <v>895</v>
      </c>
      <c r="C46">
        <f t="shared" si="1"/>
        <v>44</v>
      </c>
      <c r="D46" t="s">
        <v>916</v>
      </c>
    </row>
    <row r="47" spans="1:4" x14ac:dyDescent="0.25">
      <c r="A47">
        <f t="shared" si="0"/>
        <v>49</v>
      </c>
      <c r="B47" t="s">
        <v>920</v>
      </c>
      <c r="C47">
        <f t="shared" si="1"/>
        <v>45</v>
      </c>
      <c r="D47" t="s">
        <v>899</v>
      </c>
    </row>
    <row r="48" spans="1:4" x14ac:dyDescent="0.25">
      <c r="A48">
        <f t="shared" si="0"/>
        <v>50</v>
      </c>
      <c r="B48" t="s">
        <v>925</v>
      </c>
      <c r="C48">
        <f t="shared" si="1"/>
        <v>46</v>
      </c>
      <c r="D48" t="s">
        <v>895</v>
      </c>
    </row>
    <row r="49" spans="1:7" x14ac:dyDescent="0.25">
      <c r="A49">
        <f t="shared" si="0"/>
        <v>51</v>
      </c>
      <c r="B49" t="s">
        <v>915</v>
      </c>
      <c r="C49">
        <f t="shared" si="1"/>
        <v>47</v>
      </c>
      <c r="D49" t="s">
        <v>920</v>
      </c>
    </row>
    <row r="50" spans="1:7" x14ac:dyDescent="0.25">
      <c r="A50">
        <f t="shared" si="0"/>
        <v>52</v>
      </c>
      <c r="B50" t="s">
        <v>892</v>
      </c>
      <c r="C50">
        <f t="shared" si="1"/>
        <v>48</v>
      </c>
      <c r="D50" t="s">
        <v>925</v>
      </c>
    </row>
    <row r="51" spans="1:7" x14ac:dyDescent="0.25">
      <c r="A51">
        <f t="shared" si="0"/>
        <v>53</v>
      </c>
      <c r="B51" t="s">
        <v>907</v>
      </c>
      <c r="C51">
        <f t="shared" si="1"/>
        <v>49</v>
      </c>
      <c r="D51" t="s">
        <v>915</v>
      </c>
    </row>
    <row r="52" spans="1:7" x14ac:dyDescent="0.25">
      <c r="A52">
        <f t="shared" si="0"/>
        <v>54</v>
      </c>
      <c r="B52" t="s">
        <v>883</v>
      </c>
      <c r="C52">
        <f t="shared" si="1"/>
        <v>50</v>
      </c>
      <c r="D52" t="s">
        <v>892</v>
      </c>
    </row>
    <row r="53" spans="1:7" x14ac:dyDescent="0.25">
      <c r="A53">
        <f t="shared" si="0"/>
        <v>55</v>
      </c>
      <c r="B53" t="s">
        <v>761</v>
      </c>
      <c r="C53">
        <f t="shared" si="1"/>
        <v>51</v>
      </c>
      <c r="D53" t="s">
        <v>907</v>
      </c>
    </row>
    <row r="54" spans="1:7" x14ac:dyDescent="0.25">
      <c r="A54">
        <f t="shared" si="0"/>
        <v>56</v>
      </c>
      <c r="B54" t="s">
        <v>744</v>
      </c>
      <c r="C54">
        <f t="shared" si="1"/>
        <v>52</v>
      </c>
      <c r="D54" t="s">
        <v>883</v>
      </c>
    </row>
    <row r="55" spans="1:7" x14ac:dyDescent="0.25">
      <c r="A55">
        <f t="shared" si="0"/>
        <v>57</v>
      </c>
      <c r="B55" t="s">
        <v>781</v>
      </c>
      <c r="C55">
        <f t="shared" si="1"/>
        <v>53</v>
      </c>
      <c r="D55" t="s">
        <v>761</v>
      </c>
    </row>
    <row r="56" spans="1:7" x14ac:dyDescent="0.25">
      <c r="A56" t="e">
        <f t="shared" si="0"/>
        <v>#N/A</v>
      </c>
      <c r="B56" t="s">
        <v>1028</v>
      </c>
      <c r="C56">
        <f t="shared" si="1"/>
        <v>54</v>
      </c>
      <c r="D56" t="s">
        <v>744</v>
      </c>
    </row>
    <row r="57" spans="1:7" x14ac:dyDescent="0.25">
      <c r="A57" t="e">
        <f t="shared" si="0"/>
        <v>#N/A</v>
      </c>
      <c r="C57">
        <f t="shared" si="1"/>
        <v>55</v>
      </c>
      <c r="D57" t="s">
        <v>781</v>
      </c>
    </row>
    <row r="60" spans="1:7" x14ac:dyDescent="0.25">
      <c r="G60" t="s">
        <v>1049</v>
      </c>
    </row>
    <row r="61" spans="1:7" x14ac:dyDescent="0.25">
      <c r="A61" t="s">
        <v>866</v>
      </c>
      <c r="B61">
        <v>3205000</v>
      </c>
      <c r="C61" t="s">
        <v>471</v>
      </c>
      <c r="D61" t="s">
        <v>405</v>
      </c>
      <c r="G61" t="e">
        <v>#N/A</v>
      </c>
    </row>
    <row r="62" spans="1:7" x14ac:dyDescent="0.25">
      <c r="A62" t="s">
        <v>1027</v>
      </c>
      <c r="B62">
        <v>2000000</v>
      </c>
      <c r="C62" t="s">
        <v>471</v>
      </c>
      <c r="D62" t="s">
        <v>405</v>
      </c>
      <c r="G62" t="e">
        <v>#N/A</v>
      </c>
    </row>
    <row r="63" spans="1:7" hidden="1" x14ac:dyDescent="0.25">
      <c r="A63" t="s">
        <v>871</v>
      </c>
      <c r="B63">
        <v>1100000</v>
      </c>
      <c r="C63" t="s">
        <v>451</v>
      </c>
      <c r="D63" t="s">
        <v>409</v>
      </c>
      <c r="G63">
        <v>24</v>
      </c>
    </row>
    <row r="64" spans="1:7" hidden="1" x14ac:dyDescent="0.25">
      <c r="A64" t="s">
        <v>872</v>
      </c>
      <c r="B64">
        <v>400000</v>
      </c>
      <c r="C64" t="s">
        <v>451</v>
      </c>
      <c r="D64" t="s">
        <v>409</v>
      </c>
      <c r="G64">
        <v>23</v>
      </c>
    </row>
    <row r="65" spans="1:7" hidden="1" x14ac:dyDescent="0.25">
      <c r="A65" t="s">
        <v>773</v>
      </c>
      <c r="B65">
        <v>4000000</v>
      </c>
      <c r="C65" t="s">
        <v>451</v>
      </c>
      <c r="D65" t="s">
        <v>404</v>
      </c>
      <c r="G65">
        <v>77</v>
      </c>
    </row>
    <row r="66" spans="1:7" hidden="1" x14ac:dyDescent="0.25">
      <c r="A66" t="s">
        <v>877</v>
      </c>
      <c r="B66">
        <v>300000</v>
      </c>
      <c r="C66" t="s">
        <v>446</v>
      </c>
      <c r="D66" t="s">
        <v>410</v>
      </c>
      <c r="G66">
        <v>75</v>
      </c>
    </row>
    <row r="67" spans="1:7" hidden="1" x14ac:dyDescent="0.25">
      <c r="A67" t="s">
        <v>878</v>
      </c>
      <c r="B67">
        <v>2500000</v>
      </c>
      <c r="C67" t="s">
        <v>446</v>
      </c>
      <c r="D67" t="s">
        <v>410</v>
      </c>
      <c r="G67">
        <v>85</v>
      </c>
    </row>
    <row r="68" spans="1:7" hidden="1" x14ac:dyDescent="0.25">
      <c r="A68" t="s">
        <v>880</v>
      </c>
      <c r="B68">
        <v>1000000</v>
      </c>
      <c r="C68" t="s">
        <v>487</v>
      </c>
      <c r="D68" t="s">
        <v>406</v>
      </c>
      <c r="G68">
        <v>26</v>
      </c>
    </row>
    <row r="69" spans="1:7" hidden="1" x14ac:dyDescent="0.25">
      <c r="A69" t="s">
        <v>883</v>
      </c>
      <c r="B69">
        <v>1700000</v>
      </c>
      <c r="C69" t="s">
        <v>471</v>
      </c>
      <c r="D69" t="s">
        <v>407</v>
      </c>
      <c r="G69">
        <v>28</v>
      </c>
    </row>
    <row r="70" spans="1:7" hidden="1" x14ac:dyDescent="0.25">
      <c r="A70" t="s">
        <v>754</v>
      </c>
      <c r="B70">
        <v>2000000</v>
      </c>
      <c r="C70" t="s">
        <v>439</v>
      </c>
      <c r="D70" t="s">
        <v>407</v>
      </c>
      <c r="G70">
        <v>64</v>
      </c>
    </row>
    <row r="71" spans="1:7" hidden="1" x14ac:dyDescent="0.25">
      <c r="A71" t="s">
        <v>735</v>
      </c>
      <c r="B71">
        <v>3000000</v>
      </c>
      <c r="C71" t="s">
        <v>471</v>
      </c>
      <c r="D71" t="s">
        <v>421</v>
      </c>
      <c r="G71">
        <v>30</v>
      </c>
    </row>
    <row r="72" spans="1:7" hidden="1" x14ac:dyDescent="0.25">
      <c r="A72" t="s">
        <v>889</v>
      </c>
      <c r="B72">
        <v>5000000</v>
      </c>
      <c r="C72" t="s">
        <v>471</v>
      </c>
      <c r="D72" t="s">
        <v>421</v>
      </c>
      <c r="G72">
        <v>31</v>
      </c>
    </row>
    <row r="73" spans="1:7" hidden="1" x14ac:dyDescent="0.25">
      <c r="A73" t="s">
        <v>761</v>
      </c>
      <c r="B73">
        <v>1000000</v>
      </c>
      <c r="C73" t="s">
        <v>487</v>
      </c>
      <c r="D73" t="s">
        <v>421</v>
      </c>
      <c r="G73">
        <v>69</v>
      </c>
    </row>
    <row r="74" spans="1:7" hidden="1" x14ac:dyDescent="0.25">
      <c r="A74" t="s">
        <v>763</v>
      </c>
      <c r="B74">
        <v>15000000</v>
      </c>
      <c r="C74" t="s">
        <v>471</v>
      </c>
      <c r="D74" t="s">
        <v>421</v>
      </c>
      <c r="G74">
        <v>70</v>
      </c>
    </row>
    <row r="75" spans="1:7" x14ac:dyDescent="0.25">
      <c r="A75" t="s">
        <v>892</v>
      </c>
      <c r="B75">
        <v>2500000</v>
      </c>
      <c r="C75" t="s">
        <v>439</v>
      </c>
      <c r="D75" t="s">
        <v>421</v>
      </c>
      <c r="G75" t="e">
        <v>#N/A</v>
      </c>
    </row>
    <row r="76" spans="1:7" hidden="1" x14ac:dyDescent="0.25">
      <c r="A76" t="s">
        <v>764</v>
      </c>
      <c r="B76">
        <v>1000000</v>
      </c>
      <c r="C76" t="s">
        <v>439</v>
      </c>
      <c r="D76" t="s">
        <v>421</v>
      </c>
      <c r="G76">
        <v>71</v>
      </c>
    </row>
    <row r="77" spans="1:7" hidden="1" x14ac:dyDescent="0.25">
      <c r="A77" t="s">
        <v>895</v>
      </c>
      <c r="B77">
        <v>4000000</v>
      </c>
      <c r="C77" t="s">
        <v>451</v>
      </c>
      <c r="D77" t="s">
        <v>421</v>
      </c>
      <c r="G77">
        <v>34</v>
      </c>
    </row>
    <row r="78" spans="1:7" hidden="1" x14ac:dyDescent="0.25">
      <c r="A78" t="s">
        <v>896</v>
      </c>
      <c r="B78">
        <v>700000</v>
      </c>
      <c r="C78" t="s">
        <v>471</v>
      </c>
      <c r="D78" t="s">
        <v>421</v>
      </c>
      <c r="G78">
        <v>68</v>
      </c>
    </row>
    <row r="79" spans="1:7" hidden="1" x14ac:dyDescent="0.25">
      <c r="A79" t="s">
        <v>744</v>
      </c>
      <c r="B79">
        <v>4000000</v>
      </c>
      <c r="C79" t="s">
        <v>487</v>
      </c>
      <c r="D79" t="s">
        <v>421</v>
      </c>
      <c r="G79">
        <v>35</v>
      </c>
    </row>
    <row r="80" spans="1:7" hidden="1" x14ac:dyDescent="0.25">
      <c r="A80" t="s">
        <v>898</v>
      </c>
      <c r="B80">
        <v>2800000</v>
      </c>
      <c r="C80" t="s">
        <v>897</v>
      </c>
      <c r="D80" t="s">
        <v>421</v>
      </c>
      <c r="G80">
        <v>36</v>
      </c>
    </row>
    <row r="81" spans="1:7" hidden="1" x14ac:dyDescent="0.25">
      <c r="A81" t="s">
        <v>758</v>
      </c>
      <c r="B81">
        <v>2000000</v>
      </c>
      <c r="C81" t="s">
        <v>471</v>
      </c>
      <c r="D81" t="s">
        <v>421</v>
      </c>
      <c r="G81">
        <v>67</v>
      </c>
    </row>
    <row r="82" spans="1:7" hidden="1" x14ac:dyDescent="0.25">
      <c r="A82" t="s">
        <v>899</v>
      </c>
      <c r="B82">
        <v>1000000</v>
      </c>
      <c r="C82" t="s">
        <v>471</v>
      </c>
      <c r="D82" t="s">
        <v>421</v>
      </c>
      <c r="G82">
        <v>33</v>
      </c>
    </row>
    <row r="83" spans="1:7" hidden="1" x14ac:dyDescent="0.25">
      <c r="A83" t="s">
        <v>766</v>
      </c>
      <c r="B83">
        <v>25300000</v>
      </c>
      <c r="C83" t="s">
        <v>487</v>
      </c>
      <c r="D83" t="s">
        <v>421</v>
      </c>
      <c r="G83">
        <v>73</v>
      </c>
    </row>
    <row r="84" spans="1:7" x14ac:dyDescent="0.25">
      <c r="A84" t="s">
        <v>1032</v>
      </c>
      <c r="B84">
        <v>9000000</v>
      </c>
      <c r="C84" t="s">
        <v>487</v>
      </c>
      <c r="D84" t="s">
        <v>421</v>
      </c>
      <c r="G84" t="e">
        <v>#N/A</v>
      </c>
    </row>
    <row r="85" spans="1:7" hidden="1" x14ac:dyDescent="0.25">
      <c r="A85" t="s">
        <v>907</v>
      </c>
      <c r="B85">
        <v>1500000</v>
      </c>
      <c r="C85" t="s">
        <v>487</v>
      </c>
      <c r="D85" t="s">
        <v>421</v>
      </c>
      <c r="G85">
        <v>20</v>
      </c>
    </row>
    <row r="86" spans="1:7" hidden="1" x14ac:dyDescent="0.25">
      <c r="A86" t="s">
        <v>745</v>
      </c>
      <c r="B86">
        <v>1000000</v>
      </c>
      <c r="C86" t="s">
        <v>451</v>
      </c>
      <c r="D86" t="s">
        <v>421</v>
      </c>
      <c r="G86">
        <v>37</v>
      </c>
    </row>
    <row r="87" spans="1:7" hidden="1" x14ac:dyDescent="0.25">
      <c r="A87" t="s">
        <v>908</v>
      </c>
      <c r="B87">
        <v>15000000</v>
      </c>
      <c r="C87" t="s">
        <v>451</v>
      </c>
      <c r="D87" t="s">
        <v>421</v>
      </c>
      <c r="G87">
        <v>38</v>
      </c>
    </row>
    <row r="88" spans="1:7" x14ac:dyDescent="0.25">
      <c r="A88" t="s">
        <v>911</v>
      </c>
      <c r="B88">
        <v>1000000</v>
      </c>
      <c r="C88" t="s">
        <v>487</v>
      </c>
      <c r="D88" t="s">
        <v>421</v>
      </c>
      <c r="G88" t="e">
        <v>#N/A</v>
      </c>
    </row>
    <row r="89" spans="1:7" hidden="1" x14ac:dyDescent="0.25">
      <c r="A89" t="s">
        <v>750</v>
      </c>
      <c r="B89">
        <v>1500000</v>
      </c>
      <c r="C89" t="s">
        <v>466</v>
      </c>
      <c r="D89" t="s">
        <v>421</v>
      </c>
      <c r="G89">
        <v>40</v>
      </c>
    </row>
    <row r="90" spans="1:7" hidden="1" x14ac:dyDescent="0.25">
      <c r="A90" t="s">
        <v>757</v>
      </c>
      <c r="B90">
        <v>6000000</v>
      </c>
      <c r="C90" t="s">
        <v>471</v>
      </c>
      <c r="D90" t="s">
        <v>421</v>
      </c>
      <c r="G90">
        <v>66</v>
      </c>
    </row>
    <row r="91" spans="1:7" x14ac:dyDescent="0.25">
      <c r="A91" t="s">
        <v>915</v>
      </c>
      <c r="B91">
        <v>5000000</v>
      </c>
      <c r="C91" t="s">
        <v>471</v>
      </c>
      <c r="D91" t="s">
        <v>421</v>
      </c>
      <c r="G91" t="e">
        <v>#N/A</v>
      </c>
    </row>
    <row r="92" spans="1:7" x14ac:dyDescent="0.25">
      <c r="A92" t="s">
        <v>916</v>
      </c>
      <c r="B92">
        <v>17000000</v>
      </c>
      <c r="C92" t="s">
        <v>471</v>
      </c>
      <c r="D92" t="s">
        <v>421</v>
      </c>
      <c r="G92" t="e">
        <v>#N/A</v>
      </c>
    </row>
    <row r="93" spans="1:7" hidden="1" x14ac:dyDescent="0.25">
      <c r="A93" t="s">
        <v>753</v>
      </c>
      <c r="B93">
        <v>4000000</v>
      </c>
      <c r="C93" t="s">
        <v>471</v>
      </c>
      <c r="D93" t="s">
        <v>421</v>
      </c>
      <c r="G93">
        <v>63</v>
      </c>
    </row>
    <row r="94" spans="1:7" x14ac:dyDescent="0.25">
      <c r="A94" t="s">
        <v>1028</v>
      </c>
      <c r="B94">
        <v>8000000</v>
      </c>
      <c r="C94" t="s">
        <v>471</v>
      </c>
      <c r="D94" t="s">
        <v>421</v>
      </c>
      <c r="G94" t="e">
        <v>#N/A</v>
      </c>
    </row>
    <row r="95" spans="1:7" x14ac:dyDescent="0.25">
      <c r="A95" t="s">
        <v>919</v>
      </c>
      <c r="B95">
        <v>12000000</v>
      </c>
      <c r="C95" t="s">
        <v>471</v>
      </c>
      <c r="D95" t="s">
        <v>421</v>
      </c>
      <c r="G95" t="e">
        <v>#N/A</v>
      </c>
    </row>
    <row r="96" spans="1:7" x14ac:dyDescent="0.25">
      <c r="A96" t="s">
        <v>920</v>
      </c>
      <c r="B96">
        <v>3500000</v>
      </c>
      <c r="C96" t="s">
        <v>471</v>
      </c>
      <c r="D96" t="s">
        <v>421</v>
      </c>
      <c r="G96" t="e">
        <v>#N/A</v>
      </c>
    </row>
    <row r="97" spans="1:7" x14ac:dyDescent="0.25">
      <c r="A97" t="s">
        <v>921</v>
      </c>
      <c r="B97">
        <v>20000000</v>
      </c>
      <c r="C97" t="s">
        <v>471</v>
      </c>
      <c r="D97" t="s">
        <v>421</v>
      </c>
      <c r="G97" t="e">
        <v>#N/A</v>
      </c>
    </row>
    <row r="98" spans="1:7" x14ac:dyDescent="0.25">
      <c r="A98" t="s">
        <v>1029</v>
      </c>
      <c r="B98">
        <v>1500000</v>
      </c>
      <c r="C98" t="s">
        <v>471</v>
      </c>
      <c r="D98" t="s">
        <v>421</v>
      </c>
      <c r="G98" t="e">
        <v>#N/A</v>
      </c>
    </row>
    <row r="99" spans="1:7" x14ac:dyDescent="0.25">
      <c r="A99" t="s">
        <v>923</v>
      </c>
      <c r="B99">
        <v>32000000</v>
      </c>
      <c r="C99" t="s">
        <v>471</v>
      </c>
      <c r="D99" t="s">
        <v>421</v>
      </c>
      <c r="G99" t="e">
        <v>#N/A</v>
      </c>
    </row>
    <row r="100" spans="1:7" x14ac:dyDescent="0.25">
      <c r="A100" t="s">
        <v>924</v>
      </c>
      <c r="B100">
        <v>14500000</v>
      </c>
      <c r="C100" t="s">
        <v>471</v>
      </c>
      <c r="D100" t="s">
        <v>421</v>
      </c>
      <c r="G100" t="e">
        <v>#N/A</v>
      </c>
    </row>
    <row r="101" spans="1:7" x14ac:dyDescent="0.25">
      <c r="A101" t="s">
        <v>925</v>
      </c>
      <c r="B101">
        <v>2000000</v>
      </c>
      <c r="C101" t="s">
        <v>471</v>
      </c>
      <c r="D101" t="s">
        <v>421</v>
      </c>
      <c r="G101" t="e">
        <v>#N/A</v>
      </c>
    </row>
    <row r="102" spans="1:7" hidden="1" x14ac:dyDescent="0.25">
      <c r="A102" t="s">
        <v>755</v>
      </c>
      <c r="B102">
        <v>2500000</v>
      </c>
      <c r="C102" t="s">
        <v>471</v>
      </c>
      <c r="D102" t="s">
        <v>421</v>
      </c>
      <c r="G102">
        <v>65</v>
      </c>
    </row>
    <row r="103" spans="1:7" x14ac:dyDescent="0.25">
      <c r="A103" t="s">
        <v>1030</v>
      </c>
      <c r="B103">
        <v>2500000</v>
      </c>
      <c r="C103" t="s">
        <v>471</v>
      </c>
      <c r="D103" t="s">
        <v>421</v>
      </c>
      <c r="G103" t="e">
        <v>#N/A</v>
      </c>
    </row>
  </sheetData>
  <autoFilter ref="G60:G103">
    <filterColumn colId="0">
      <filters>
        <filter val="#N/A"/>
      </filters>
    </filterColumn>
  </autoFilter>
  <sortState ref="D1:D57">
    <sortCondition ref="D1:D57"/>
  </sortState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9"/>
  <sheetViews>
    <sheetView topLeftCell="C1" workbookViewId="0">
      <selection activeCell="D61" sqref="D61"/>
    </sheetView>
  </sheetViews>
  <sheetFormatPr defaultRowHeight="15" x14ac:dyDescent="0.25"/>
  <cols>
    <col min="1" max="1" width="98.28515625" style="380" hidden="1" customWidth="1"/>
    <col min="2" max="2" width="5.28515625" style="380" hidden="1" customWidth="1"/>
    <col min="3" max="3" width="14.5703125" style="476" customWidth="1"/>
    <col min="4" max="4" width="30.7109375" style="380" customWidth="1"/>
    <col min="5" max="5" width="17" style="380" customWidth="1"/>
    <col min="6" max="6" width="49.42578125" bestFit="1" customWidth="1"/>
    <col min="10" max="11" width="19.28515625" bestFit="1" customWidth="1"/>
    <col min="12" max="12" width="6.42578125" bestFit="1" customWidth="1"/>
    <col min="13" max="13" width="14.5703125" style="636" customWidth="1"/>
    <col min="14" max="69" width="98.140625" bestFit="1" customWidth="1"/>
    <col min="70" max="70" width="11.28515625" bestFit="1" customWidth="1"/>
    <col min="71" max="71" width="10.28515625" customWidth="1"/>
    <col min="72" max="78" width="98.140625" bestFit="1" customWidth="1"/>
    <col min="79" max="79" width="10" bestFit="1" customWidth="1"/>
    <col min="80" max="80" width="11.28515625" bestFit="1" customWidth="1"/>
  </cols>
  <sheetData>
    <row r="1" spans="1:13" x14ac:dyDescent="0.25">
      <c r="A1" s="408"/>
      <c r="B1" s="408"/>
      <c r="C1" s="476" t="s">
        <v>1021</v>
      </c>
      <c r="D1" s="380" t="s">
        <v>1022</v>
      </c>
      <c r="E1" s="380" t="s">
        <v>962</v>
      </c>
      <c r="F1" t="s">
        <v>1023</v>
      </c>
      <c r="G1" t="s">
        <v>1024</v>
      </c>
    </row>
    <row r="2" spans="1:13" hidden="1" x14ac:dyDescent="0.25">
      <c r="A2" s="408"/>
      <c r="B2" s="408"/>
      <c r="C2" s="614" t="s">
        <v>451</v>
      </c>
      <c r="D2" s="615" t="s">
        <v>842</v>
      </c>
      <c r="E2" s="411">
        <v>500000</v>
      </c>
      <c r="F2" t="s">
        <v>409</v>
      </c>
      <c r="G2">
        <v>11</v>
      </c>
      <c r="I2">
        <f>+MATCH(Table2[[#This Row],[Nome]],MapaX!D:D,0)</f>
        <v>18</v>
      </c>
    </row>
    <row r="3" spans="1:13" hidden="1" x14ac:dyDescent="0.25">
      <c r="A3" s="418"/>
      <c r="B3" s="418"/>
      <c r="C3" s="614" t="s">
        <v>471</v>
      </c>
      <c r="D3" s="616" t="s">
        <v>752</v>
      </c>
      <c r="E3" s="411">
        <v>1100000</v>
      </c>
      <c r="F3" t="s">
        <v>402</v>
      </c>
      <c r="G3">
        <v>4</v>
      </c>
      <c r="I3">
        <f>+MATCH(Table2[[#This Row],[Nome]],MapaX!D:D,0)</f>
        <v>21</v>
      </c>
    </row>
    <row r="4" spans="1:13" hidden="1" x14ac:dyDescent="0.25">
      <c r="A4" s="400"/>
      <c r="B4" s="400"/>
      <c r="C4" s="617" t="s">
        <v>502</v>
      </c>
      <c r="D4" s="617" t="s">
        <v>850</v>
      </c>
      <c r="E4" s="411">
        <v>2000000</v>
      </c>
      <c r="F4" t="s">
        <v>407</v>
      </c>
      <c r="G4">
        <v>9</v>
      </c>
      <c r="I4">
        <f>+MATCH(Table2[[#This Row],[Nome]],MapaX!D:D,0)</f>
        <v>25</v>
      </c>
    </row>
    <row r="5" spans="1:13" hidden="1" x14ac:dyDescent="0.25">
      <c r="A5" s="418"/>
      <c r="B5" s="418"/>
      <c r="C5" s="614" t="s">
        <v>451</v>
      </c>
      <c r="D5" s="617" t="s">
        <v>852</v>
      </c>
      <c r="E5" s="411">
        <v>1200000</v>
      </c>
      <c r="F5" t="s">
        <v>412</v>
      </c>
      <c r="G5">
        <v>14</v>
      </c>
      <c r="I5" t="e">
        <f>+MATCH(Table2[[#This Row],[Nome]],MapaX!D:D,0)</f>
        <v>#N/A</v>
      </c>
      <c r="J5" s="641" t="s">
        <v>1025</v>
      </c>
    </row>
    <row r="6" spans="1:13" hidden="1" x14ac:dyDescent="0.25">
      <c r="A6" s="418"/>
      <c r="B6" s="418"/>
      <c r="C6" s="617" t="s">
        <v>434</v>
      </c>
      <c r="D6" s="616" t="s">
        <v>857</v>
      </c>
      <c r="E6" s="411">
        <v>100000</v>
      </c>
      <c r="F6" t="s">
        <v>403</v>
      </c>
      <c r="G6">
        <v>5</v>
      </c>
      <c r="I6">
        <f>+MATCH(Table2[[#This Row],[Nome]],MapaX!D:D,0)</f>
        <v>31</v>
      </c>
      <c r="J6" s="641" t="s">
        <v>1023</v>
      </c>
      <c r="K6" s="641" t="s">
        <v>1021</v>
      </c>
      <c r="L6" s="641" t="s">
        <v>1024</v>
      </c>
      <c r="M6" t="s">
        <v>429</v>
      </c>
    </row>
    <row r="7" spans="1:13" x14ac:dyDescent="0.25">
      <c r="A7" s="418"/>
      <c r="B7" s="418"/>
      <c r="C7" s="617" t="s">
        <v>451</v>
      </c>
      <c r="D7" s="616" t="s">
        <v>1048</v>
      </c>
      <c r="E7" s="411">
        <v>100000</v>
      </c>
      <c r="F7" t="s">
        <v>409</v>
      </c>
      <c r="G7">
        <v>11</v>
      </c>
      <c r="I7" t="e">
        <f>+MATCH(Table2[[#This Row],[Nome]],MapaX!D:D,0)</f>
        <v>#N/A</v>
      </c>
      <c r="J7" s="632" t="s">
        <v>412</v>
      </c>
      <c r="K7" s="632" t="s">
        <v>451</v>
      </c>
      <c r="L7" s="632">
        <v>14</v>
      </c>
      <c r="M7" s="636">
        <v>1200000</v>
      </c>
    </row>
    <row r="8" spans="1:13" x14ac:dyDescent="0.25">
      <c r="A8" s="418"/>
      <c r="B8" s="418"/>
      <c r="C8" s="617" t="s">
        <v>451</v>
      </c>
      <c r="D8" s="616" t="s">
        <v>777</v>
      </c>
      <c r="E8" s="411">
        <v>1000000</v>
      </c>
      <c r="F8" t="s">
        <v>409</v>
      </c>
      <c r="G8">
        <v>11</v>
      </c>
      <c r="I8" t="e">
        <f>+MATCH(Table2[[#This Row],[Nome]],MapaX!D:D,0)</f>
        <v>#N/A</v>
      </c>
      <c r="J8" s="632" t="s">
        <v>406</v>
      </c>
      <c r="K8" s="632" t="s">
        <v>487</v>
      </c>
      <c r="L8" s="632">
        <v>8</v>
      </c>
      <c r="M8" s="636">
        <v>1000000</v>
      </c>
    </row>
    <row r="9" spans="1:13" hidden="1" x14ac:dyDescent="0.25">
      <c r="A9" s="418"/>
      <c r="B9" s="418"/>
      <c r="C9" s="617" t="s">
        <v>451</v>
      </c>
      <c r="D9" s="616" t="s">
        <v>781</v>
      </c>
      <c r="E9" s="411">
        <v>4000000</v>
      </c>
      <c r="F9" t="s">
        <v>409</v>
      </c>
      <c r="G9">
        <v>11</v>
      </c>
      <c r="I9">
        <f>+MATCH(Table2[[#This Row],[Nome]],MapaX!D:D,0)</f>
        <v>38</v>
      </c>
      <c r="J9" s="632" t="s">
        <v>404</v>
      </c>
      <c r="K9" s="632" t="s">
        <v>451</v>
      </c>
      <c r="L9" s="632">
        <v>6</v>
      </c>
      <c r="M9" s="636">
        <v>6000000</v>
      </c>
    </row>
    <row r="10" spans="1:13" hidden="1" x14ac:dyDescent="0.25">
      <c r="A10" s="418"/>
      <c r="B10" s="418"/>
      <c r="C10" s="617" t="s">
        <v>451</v>
      </c>
      <c r="D10" s="616" t="s">
        <v>779</v>
      </c>
      <c r="E10" s="411">
        <v>600000</v>
      </c>
      <c r="F10" t="s">
        <v>409</v>
      </c>
      <c r="G10">
        <v>11</v>
      </c>
      <c r="I10">
        <f>+MATCH(Table2[[#This Row],[Nome]],MapaX!D:D,0)</f>
        <v>40</v>
      </c>
      <c r="J10" s="632" t="s">
        <v>403</v>
      </c>
      <c r="K10" s="632" t="s">
        <v>434</v>
      </c>
      <c r="L10" s="632">
        <v>5</v>
      </c>
      <c r="M10" s="636">
        <v>100000</v>
      </c>
    </row>
    <row r="11" spans="1:13" hidden="1" x14ac:dyDescent="0.25">
      <c r="A11" s="418"/>
      <c r="B11" s="418"/>
      <c r="C11" s="617" t="s">
        <v>471</v>
      </c>
      <c r="D11" s="616" t="s">
        <v>865</v>
      </c>
      <c r="E11" s="411">
        <v>2000000</v>
      </c>
      <c r="F11" t="s">
        <v>405</v>
      </c>
      <c r="G11">
        <v>7</v>
      </c>
      <c r="I11">
        <f>+MATCH(Table2[[#This Row],[Nome]],MapaX!D:D,0)</f>
        <v>43</v>
      </c>
      <c r="J11" s="632" t="s">
        <v>407</v>
      </c>
      <c r="K11" s="632" t="s">
        <v>439</v>
      </c>
      <c r="L11" s="632">
        <v>9</v>
      </c>
      <c r="M11" s="636">
        <v>2000000</v>
      </c>
    </row>
    <row r="12" spans="1:13" hidden="1" x14ac:dyDescent="0.25">
      <c r="A12" s="418"/>
      <c r="B12" s="418"/>
      <c r="C12" s="618" t="s">
        <v>471</v>
      </c>
      <c r="D12" s="619" t="s">
        <v>866</v>
      </c>
      <c r="E12" s="432">
        <v>3205000</v>
      </c>
      <c r="F12" t="s">
        <v>405</v>
      </c>
      <c r="G12">
        <v>7</v>
      </c>
      <c r="I12">
        <f>+MATCH(Table2[[#This Row],[Nome]],MapaX!D:D,0)</f>
        <v>44</v>
      </c>
      <c r="K12" s="632" t="s">
        <v>471</v>
      </c>
      <c r="L12" s="632">
        <v>9</v>
      </c>
      <c r="M12" s="636">
        <v>1700000</v>
      </c>
    </row>
    <row r="13" spans="1:13" hidden="1" x14ac:dyDescent="0.25">
      <c r="A13" s="418"/>
      <c r="B13" s="418"/>
      <c r="C13" s="617" t="s">
        <v>471</v>
      </c>
      <c r="D13" s="616" t="s">
        <v>867</v>
      </c>
      <c r="E13" s="411">
        <v>2000000</v>
      </c>
      <c r="F13" t="s">
        <v>405</v>
      </c>
      <c r="G13">
        <v>7</v>
      </c>
      <c r="I13" t="e">
        <f>+MATCH(Table2[[#This Row],[Nome]],MapaX!D:D,0)</f>
        <v>#N/A</v>
      </c>
      <c r="K13" s="632" t="s">
        <v>502</v>
      </c>
      <c r="L13" s="632">
        <v>9</v>
      </c>
      <c r="M13" s="636">
        <v>2000000</v>
      </c>
    </row>
    <row r="14" spans="1:13" hidden="1" x14ac:dyDescent="0.25">
      <c r="A14" s="418"/>
      <c r="B14" s="418"/>
      <c r="C14" s="617" t="s">
        <v>451</v>
      </c>
      <c r="D14" s="616" t="s">
        <v>871</v>
      </c>
      <c r="E14" s="411">
        <v>1100000</v>
      </c>
      <c r="F14" t="s">
        <v>409</v>
      </c>
      <c r="G14">
        <v>11</v>
      </c>
      <c r="I14">
        <f>+MATCH(Table2[[#This Row],[Nome]],MapaX!D:D,0)</f>
        <v>48</v>
      </c>
      <c r="J14" s="632" t="s">
        <v>402</v>
      </c>
      <c r="K14" s="632" t="s">
        <v>471</v>
      </c>
      <c r="L14" s="632">
        <v>4</v>
      </c>
      <c r="M14" s="636">
        <v>1100000</v>
      </c>
    </row>
    <row r="15" spans="1:13" hidden="1" x14ac:dyDescent="0.25">
      <c r="A15" s="418"/>
      <c r="B15" s="418"/>
      <c r="C15" s="617" t="s">
        <v>451</v>
      </c>
      <c r="D15" s="616" t="s">
        <v>872</v>
      </c>
      <c r="E15" s="411">
        <v>400000</v>
      </c>
      <c r="F15" t="s">
        <v>409</v>
      </c>
      <c r="G15">
        <v>11</v>
      </c>
      <c r="I15">
        <f>+MATCH(Table2[[#This Row],[Nome]],MapaX!D:D,0)</f>
        <v>49</v>
      </c>
      <c r="J15" s="632" t="s">
        <v>409</v>
      </c>
      <c r="K15" s="632" t="s">
        <v>451</v>
      </c>
      <c r="L15" s="632">
        <v>11</v>
      </c>
      <c r="M15" s="636">
        <v>7700000</v>
      </c>
    </row>
    <row r="16" spans="1:13" hidden="1" x14ac:dyDescent="0.25">
      <c r="A16" s="418"/>
      <c r="B16" s="418"/>
      <c r="C16" s="617" t="s">
        <v>451</v>
      </c>
      <c r="D16" s="616" t="s">
        <v>773</v>
      </c>
      <c r="E16" s="411">
        <v>6000000</v>
      </c>
      <c r="F16" t="s">
        <v>404</v>
      </c>
      <c r="G16">
        <v>6</v>
      </c>
      <c r="I16">
        <f>+MATCH(Table2[[#This Row],[Nome]],MapaX!D:D,0)</f>
        <v>52</v>
      </c>
      <c r="J16" s="632" t="s">
        <v>410</v>
      </c>
      <c r="K16" s="632" t="s">
        <v>446</v>
      </c>
      <c r="L16" s="632">
        <v>12</v>
      </c>
      <c r="M16" s="636">
        <v>2800000</v>
      </c>
    </row>
    <row r="17" spans="1:13" hidden="1" x14ac:dyDescent="0.25">
      <c r="A17" s="418"/>
      <c r="B17" s="418"/>
      <c r="C17" s="617" t="s">
        <v>446</v>
      </c>
      <c r="D17" s="616" t="s">
        <v>877</v>
      </c>
      <c r="E17" s="411">
        <v>300000</v>
      </c>
      <c r="F17" t="s">
        <v>410</v>
      </c>
      <c r="G17">
        <v>12</v>
      </c>
      <c r="I17">
        <f>+MATCH(Table2[[#This Row],[Nome]],MapaX!D:D,0)</f>
        <v>56</v>
      </c>
      <c r="K17" s="632" t="s">
        <v>451</v>
      </c>
      <c r="L17" s="632">
        <v>12</v>
      </c>
      <c r="M17" s="636">
        <v>1000000</v>
      </c>
    </row>
    <row r="18" spans="1:13" hidden="1" x14ac:dyDescent="0.25">
      <c r="A18" s="418"/>
      <c r="B18" s="418"/>
      <c r="C18" s="617" t="s">
        <v>446</v>
      </c>
      <c r="D18" s="616" t="s">
        <v>878</v>
      </c>
      <c r="E18" s="411">
        <v>2500000</v>
      </c>
      <c r="F18" t="s">
        <v>410</v>
      </c>
      <c r="G18">
        <v>12</v>
      </c>
      <c r="I18">
        <f>+MATCH(Table2[[#This Row],[Nome]],MapaX!D:D,0)</f>
        <v>57</v>
      </c>
      <c r="K18" s="632" t="s">
        <v>471</v>
      </c>
      <c r="L18" s="632">
        <v>12</v>
      </c>
      <c r="M18" s="636">
        <v>13500000</v>
      </c>
    </row>
    <row r="19" spans="1:13" hidden="1" x14ac:dyDescent="0.25">
      <c r="A19" s="418"/>
      <c r="B19" s="418"/>
      <c r="C19" s="614" t="s">
        <v>487</v>
      </c>
      <c r="D19" s="620" t="s">
        <v>880</v>
      </c>
      <c r="E19" s="439">
        <v>1000000</v>
      </c>
      <c r="F19" t="s">
        <v>406</v>
      </c>
      <c r="G19">
        <v>8</v>
      </c>
      <c r="I19">
        <f>+MATCH(Table2[[#This Row],[Nome]],MapaX!D:D,0)</f>
        <v>60</v>
      </c>
      <c r="J19" s="632" t="s">
        <v>405</v>
      </c>
      <c r="K19" s="632" t="s">
        <v>471</v>
      </c>
      <c r="L19" s="632">
        <v>7</v>
      </c>
      <c r="M19" s="636">
        <v>7205000</v>
      </c>
    </row>
    <row r="20" spans="1:13" hidden="1" x14ac:dyDescent="0.25">
      <c r="A20" s="418"/>
      <c r="B20" s="418"/>
      <c r="C20" s="617" t="s">
        <v>471</v>
      </c>
      <c r="D20" s="616" t="s">
        <v>883</v>
      </c>
      <c r="E20" s="414">
        <v>1700000</v>
      </c>
      <c r="F20" t="s">
        <v>407</v>
      </c>
      <c r="G20">
        <v>9</v>
      </c>
      <c r="I20">
        <f>+MATCH(Table2[[#This Row],[Nome]],MapaX!D:D,0)</f>
        <v>63</v>
      </c>
      <c r="J20" s="632" t="s">
        <v>421</v>
      </c>
      <c r="K20" s="632" t="s">
        <v>439</v>
      </c>
      <c r="L20" s="632">
        <v>23</v>
      </c>
      <c r="M20" s="636">
        <v>2500000</v>
      </c>
    </row>
    <row r="21" spans="1:13" hidden="1" x14ac:dyDescent="0.25">
      <c r="A21" s="418"/>
      <c r="B21" s="418"/>
      <c r="C21" s="617" t="s">
        <v>439</v>
      </c>
      <c r="D21" s="616" t="s">
        <v>754</v>
      </c>
      <c r="E21" s="414">
        <v>2000000</v>
      </c>
      <c r="F21" t="s">
        <v>407</v>
      </c>
      <c r="G21">
        <v>9</v>
      </c>
      <c r="I21">
        <f>+MATCH(Table2[[#This Row],[Nome]],MapaX!D:D,0)</f>
        <v>64</v>
      </c>
      <c r="K21" s="632" t="s">
        <v>451</v>
      </c>
      <c r="L21" s="632">
        <v>23</v>
      </c>
      <c r="M21" s="636">
        <v>20000000</v>
      </c>
    </row>
    <row r="22" spans="1:13" hidden="1" x14ac:dyDescent="0.25">
      <c r="A22" s="418"/>
      <c r="B22" s="418"/>
      <c r="C22" s="617" t="s">
        <v>471</v>
      </c>
      <c r="D22" s="616" t="s">
        <v>735</v>
      </c>
      <c r="E22" s="414">
        <v>3000000</v>
      </c>
      <c r="F22" t="s">
        <v>421</v>
      </c>
      <c r="G22">
        <v>23</v>
      </c>
      <c r="I22">
        <f>+MATCH(Table2[[#This Row],[Nome]],MapaX!D:D,0)</f>
        <v>67</v>
      </c>
      <c r="K22" s="632" t="s">
        <v>466</v>
      </c>
      <c r="L22" s="632">
        <v>23</v>
      </c>
      <c r="M22" s="636">
        <v>2000000</v>
      </c>
    </row>
    <row r="23" spans="1:13" hidden="1" x14ac:dyDescent="0.25">
      <c r="A23" s="400"/>
      <c r="B23" s="412"/>
      <c r="C23" s="617" t="s">
        <v>471</v>
      </c>
      <c r="D23" s="616" t="s">
        <v>889</v>
      </c>
      <c r="E23" s="414">
        <v>5000000</v>
      </c>
      <c r="F23" t="s">
        <v>421</v>
      </c>
      <c r="G23">
        <v>23</v>
      </c>
      <c r="I23">
        <f>+MATCH(Table2[[#This Row],[Nome]],MapaX!D:D,0)</f>
        <v>70</v>
      </c>
      <c r="K23" s="632" t="s">
        <v>471</v>
      </c>
      <c r="L23" s="632">
        <v>23</v>
      </c>
      <c r="M23" s="636">
        <v>173500000</v>
      </c>
    </row>
    <row r="24" spans="1:13" hidden="1" x14ac:dyDescent="0.25">
      <c r="A24" s="400"/>
      <c r="B24" s="412"/>
      <c r="C24" s="614" t="s">
        <v>487</v>
      </c>
      <c r="D24" s="616" t="s">
        <v>761</v>
      </c>
      <c r="E24" s="414">
        <v>1000000</v>
      </c>
      <c r="F24" t="s">
        <v>421</v>
      </c>
      <c r="G24">
        <v>23</v>
      </c>
      <c r="I24">
        <f>+MATCH(Table2[[#This Row],[Nome]],MapaX!D:D,0)</f>
        <v>74</v>
      </c>
      <c r="K24" s="632" t="s">
        <v>897</v>
      </c>
      <c r="L24" s="632">
        <v>23</v>
      </c>
      <c r="M24" s="636">
        <v>2800000</v>
      </c>
    </row>
    <row r="25" spans="1:13" hidden="1" x14ac:dyDescent="0.25">
      <c r="A25" s="400"/>
      <c r="B25" s="412"/>
      <c r="C25" s="617" t="s">
        <v>471</v>
      </c>
      <c r="D25" s="616" t="s">
        <v>763</v>
      </c>
      <c r="E25" s="414">
        <v>20000000</v>
      </c>
      <c r="F25" t="s">
        <v>421</v>
      </c>
      <c r="G25">
        <v>23</v>
      </c>
      <c r="I25">
        <f>+MATCH(Table2[[#This Row],[Nome]],MapaX!D:D,0)</f>
        <v>75</v>
      </c>
      <c r="K25" s="632" t="s">
        <v>487</v>
      </c>
      <c r="L25" s="632">
        <v>23</v>
      </c>
      <c r="M25" s="636">
        <v>37700000</v>
      </c>
    </row>
    <row r="26" spans="1:13" hidden="1" x14ac:dyDescent="0.25">
      <c r="A26" s="400"/>
      <c r="B26" s="412"/>
      <c r="C26" s="617" t="s">
        <v>439</v>
      </c>
      <c r="D26" s="616" t="s">
        <v>892</v>
      </c>
      <c r="E26" s="414">
        <v>1500000</v>
      </c>
      <c r="F26" t="s">
        <v>421</v>
      </c>
      <c r="G26">
        <v>23</v>
      </c>
      <c r="I26">
        <f>+MATCH(Table2[[#This Row],[Nome]],MapaX!D:D,0)</f>
        <v>76</v>
      </c>
      <c r="J26" s="632" t="s">
        <v>8</v>
      </c>
      <c r="M26" s="636">
        <v>285805000</v>
      </c>
    </row>
    <row r="27" spans="1:13" hidden="1" x14ac:dyDescent="0.25">
      <c r="A27" s="418"/>
      <c r="B27" s="418"/>
      <c r="C27" s="617" t="s">
        <v>439</v>
      </c>
      <c r="D27" s="616" t="s">
        <v>764</v>
      </c>
      <c r="E27" s="414">
        <v>1000000</v>
      </c>
      <c r="F27" t="s">
        <v>421</v>
      </c>
      <c r="G27">
        <v>23</v>
      </c>
      <c r="I27">
        <f>+MATCH(Table2[[#This Row],[Nome]],MapaX!D:D,0)</f>
        <v>77</v>
      </c>
      <c r="M27"/>
    </row>
    <row r="28" spans="1:13" hidden="1" x14ac:dyDescent="0.25">
      <c r="A28" s="418"/>
      <c r="B28" s="418"/>
      <c r="C28" s="617" t="s">
        <v>451</v>
      </c>
      <c r="D28" s="616" t="s">
        <v>895</v>
      </c>
      <c r="E28" s="438">
        <v>4000000</v>
      </c>
      <c r="F28" t="s">
        <v>421</v>
      </c>
      <c r="G28">
        <v>23</v>
      </c>
      <c r="I28">
        <f>+MATCH(Table2[[#This Row],[Nome]],MapaX!D:D,0)</f>
        <v>80</v>
      </c>
      <c r="M28"/>
    </row>
    <row r="29" spans="1:13" hidden="1" x14ac:dyDescent="0.25">
      <c r="A29" s="418"/>
      <c r="B29" s="418"/>
      <c r="C29" s="618" t="s">
        <v>471</v>
      </c>
      <c r="D29" s="619" t="s">
        <v>896</v>
      </c>
      <c r="E29" s="441">
        <v>500000</v>
      </c>
      <c r="F29" t="s">
        <v>421</v>
      </c>
      <c r="G29">
        <v>23</v>
      </c>
      <c r="I29">
        <f>+MATCH(Table2[[#This Row],[Nome]],MapaX!D:D,0)</f>
        <v>81</v>
      </c>
    </row>
    <row r="30" spans="1:13" hidden="1" x14ac:dyDescent="0.25">
      <c r="A30" s="418"/>
      <c r="B30" s="418"/>
      <c r="C30" s="614" t="s">
        <v>487</v>
      </c>
      <c r="D30" s="616" t="s">
        <v>744</v>
      </c>
      <c r="E30" s="438">
        <v>4000000</v>
      </c>
      <c r="F30" t="s">
        <v>421</v>
      </c>
      <c r="G30">
        <v>23</v>
      </c>
      <c r="I30">
        <f>+MATCH(Table2[[#This Row],[Nome]],MapaX!D:D,0)</f>
        <v>82</v>
      </c>
    </row>
    <row r="31" spans="1:13" hidden="1" x14ac:dyDescent="0.25">
      <c r="A31" s="418"/>
      <c r="B31" s="418"/>
      <c r="C31" s="621" t="s">
        <v>897</v>
      </c>
      <c r="D31" s="618" t="s">
        <v>898</v>
      </c>
      <c r="E31" s="438">
        <v>2800000</v>
      </c>
      <c r="F31" t="s">
        <v>421</v>
      </c>
      <c r="G31">
        <v>23</v>
      </c>
      <c r="I31">
        <f>+MATCH(Table2[[#This Row],[Nome]],MapaX!D:D,0)</f>
        <v>83</v>
      </c>
    </row>
    <row r="32" spans="1:13" hidden="1" x14ac:dyDescent="0.25">
      <c r="A32" s="418"/>
      <c r="B32" s="418"/>
      <c r="C32" s="617" t="s">
        <v>471</v>
      </c>
      <c r="D32" s="616" t="s">
        <v>758</v>
      </c>
      <c r="E32" s="438">
        <v>2000000</v>
      </c>
      <c r="F32" t="s">
        <v>421</v>
      </c>
      <c r="G32">
        <v>23</v>
      </c>
      <c r="I32">
        <f>+MATCH(Table2[[#This Row],[Nome]],MapaX!D:D,0)</f>
        <v>84</v>
      </c>
    </row>
    <row r="33" spans="1:9" hidden="1" x14ac:dyDescent="0.25">
      <c r="A33" s="444"/>
      <c r="B33" s="444">
        <v>1</v>
      </c>
      <c r="C33" s="617" t="s">
        <v>471</v>
      </c>
      <c r="D33" s="616" t="s">
        <v>899</v>
      </c>
      <c r="E33" s="439">
        <v>1000000</v>
      </c>
      <c r="F33" t="s">
        <v>421</v>
      </c>
      <c r="G33">
        <v>23</v>
      </c>
      <c r="I33">
        <f>+MATCH(Table2[[#This Row],[Nome]],MapaX!D:D,0)</f>
        <v>85</v>
      </c>
    </row>
    <row r="34" spans="1:9" ht="38.25" hidden="1" x14ac:dyDescent="0.25">
      <c r="A34" s="444"/>
      <c r="B34" s="444"/>
      <c r="C34" s="622" t="s">
        <v>487</v>
      </c>
      <c r="D34" s="623" t="s">
        <v>766</v>
      </c>
      <c r="E34" s="449">
        <v>13000000</v>
      </c>
      <c r="F34" t="s">
        <v>421</v>
      </c>
      <c r="G34">
        <v>23</v>
      </c>
      <c r="I34">
        <f>+MATCH(Table2[[#This Row],[Nome]],MapaX!D:D,0)</f>
        <v>88</v>
      </c>
    </row>
    <row r="35" spans="1:9" ht="51" hidden="1" x14ac:dyDescent="0.25">
      <c r="A35" s="444"/>
      <c r="B35" s="444"/>
      <c r="C35" s="622" t="s">
        <v>487</v>
      </c>
      <c r="D35" s="623" t="s">
        <v>902</v>
      </c>
      <c r="E35" s="449">
        <v>8000000</v>
      </c>
      <c r="F35" t="s">
        <v>421</v>
      </c>
      <c r="G35">
        <v>23</v>
      </c>
      <c r="I35" t="e">
        <f>+MATCH(Table2[[#This Row],[Nome]],MapaX!D:D,0)</f>
        <v>#N/A</v>
      </c>
    </row>
    <row r="36" spans="1:9" ht="42.75" hidden="1" x14ac:dyDescent="0.25">
      <c r="A36" s="444"/>
      <c r="B36" s="444"/>
      <c r="C36" s="624" t="s">
        <v>471</v>
      </c>
      <c r="D36" s="625" t="s">
        <v>905</v>
      </c>
      <c r="E36" s="447">
        <v>6000000</v>
      </c>
      <c r="F36" t="s">
        <v>421</v>
      </c>
      <c r="G36">
        <v>23</v>
      </c>
      <c r="I36" t="e">
        <f>+MATCH(Table2[[#This Row],[Nome]],MapaX!D:D,0)</f>
        <v>#N/A</v>
      </c>
    </row>
    <row r="37" spans="1:9" ht="28.5" hidden="1" x14ac:dyDescent="0.25">
      <c r="A37" s="444"/>
      <c r="B37" s="444"/>
      <c r="C37" s="626" t="s">
        <v>487</v>
      </c>
      <c r="D37" s="627" t="s">
        <v>906</v>
      </c>
      <c r="E37" s="455">
        <v>10000000</v>
      </c>
      <c r="F37" t="s">
        <v>421</v>
      </c>
      <c r="G37">
        <v>23</v>
      </c>
      <c r="I37" t="e">
        <f>+MATCH(Table2[[#This Row],[Nome]],MapaX!D:D,0)</f>
        <v>#N/A</v>
      </c>
    </row>
    <row r="38" spans="1:9" hidden="1" x14ac:dyDescent="0.25">
      <c r="A38" s="444"/>
      <c r="B38" s="444"/>
      <c r="C38" s="628" t="s">
        <v>487</v>
      </c>
      <c r="D38" s="627" t="s">
        <v>907</v>
      </c>
      <c r="E38" s="447">
        <v>700000</v>
      </c>
      <c r="F38" t="s">
        <v>421</v>
      </c>
      <c r="G38">
        <v>23</v>
      </c>
      <c r="I38">
        <f>+MATCH(Table2[[#This Row],[Nome]],MapaX!D:D,0)</f>
        <v>92</v>
      </c>
    </row>
    <row r="39" spans="1:9" ht="28.5" hidden="1" x14ac:dyDescent="0.25">
      <c r="A39" s="418"/>
      <c r="B39" s="418"/>
      <c r="C39" s="629" t="s">
        <v>451</v>
      </c>
      <c r="D39" s="625" t="s">
        <v>745</v>
      </c>
      <c r="E39" s="447">
        <v>1000000</v>
      </c>
      <c r="F39" t="s">
        <v>421</v>
      </c>
      <c r="G39">
        <v>23</v>
      </c>
      <c r="I39">
        <f>+MATCH(Table2[[#This Row],[Nome]],MapaX!D:D,0)</f>
        <v>93</v>
      </c>
    </row>
    <row r="40" spans="1:9" hidden="1" x14ac:dyDescent="0.25">
      <c r="A40" s="418"/>
      <c r="B40" s="418"/>
      <c r="C40" s="629" t="s">
        <v>451</v>
      </c>
      <c r="D40" s="620" t="s">
        <v>908</v>
      </c>
      <c r="E40" s="414">
        <v>15000000</v>
      </c>
      <c r="F40" t="s">
        <v>421</v>
      </c>
      <c r="G40">
        <v>23</v>
      </c>
      <c r="I40">
        <f>+MATCH(Table2[[#This Row],[Nome]],MapaX!D:D,0)</f>
        <v>94</v>
      </c>
    </row>
    <row r="41" spans="1:9" hidden="1" x14ac:dyDescent="0.25">
      <c r="A41" s="418"/>
      <c r="B41" s="418"/>
      <c r="C41" s="614" t="s">
        <v>487</v>
      </c>
      <c r="D41" s="616" t="s">
        <v>911</v>
      </c>
      <c r="E41" s="414">
        <v>1000000</v>
      </c>
      <c r="F41" t="s">
        <v>421</v>
      </c>
      <c r="G41">
        <v>23</v>
      </c>
      <c r="I41">
        <f>+MATCH(Table2[[#This Row],[Nome]],MapaX!D:D,0)</f>
        <v>97</v>
      </c>
    </row>
    <row r="42" spans="1:9" ht="28.5" hidden="1" x14ac:dyDescent="0.25">
      <c r="A42" s="444"/>
      <c r="B42" s="444"/>
      <c r="C42" s="629" t="s">
        <v>466</v>
      </c>
      <c r="D42" s="625" t="s">
        <v>750</v>
      </c>
      <c r="E42" s="447">
        <v>2000000</v>
      </c>
      <c r="F42" t="s">
        <v>421</v>
      </c>
      <c r="G42">
        <v>23</v>
      </c>
      <c r="I42">
        <f>+MATCH(Table2[[#This Row],[Nome]],MapaX!D:D,0)</f>
        <v>100</v>
      </c>
    </row>
    <row r="43" spans="1:9" ht="28.5" hidden="1" x14ac:dyDescent="0.25">
      <c r="A43" s="418"/>
      <c r="B43" s="418"/>
      <c r="C43" s="624" t="s">
        <v>471</v>
      </c>
      <c r="D43" s="625" t="s">
        <v>757</v>
      </c>
      <c r="E43" s="447">
        <v>3000000</v>
      </c>
      <c r="F43" t="s">
        <v>421</v>
      </c>
      <c r="G43">
        <v>23</v>
      </c>
      <c r="I43">
        <f>+MATCH(Table2[[#This Row],[Nome]],MapaX!D:D,0)</f>
        <v>101</v>
      </c>
    </row>
    <row r="44" spans="1:9" ht="28.5" hidden="1" x14ac:dyDescent="0.25">
      <c r="A44" s="418"/>
      <c r="B44" s="418"/>
      <c r="C44" s="629" t="s">
        <v>471</v>
      </c>
      <c r="D44" s="625" t="s">
        <v>915</v>
      </c>
      <c r="E44" s="447">
        <v>5000000</v>
      </c>
      <c r="F44" t="s">
        <v>421</v>
      </c>
      <c r="G44">
        <v>23</v>
      </c>
      <c r="I44">
        <f>+MATCH(Table2[[#This Row],[Nome]],MapaX!D:D,0)</f>
        <v>102</v>
      </c>
    </row>
    <row r="45" spans="1:9" ht="28.5" hidden="1" x14ac:dyDescent="0.25">
      <c r="A45" s="444"/>
      <c r="B45" s="444"/>
      <c r="C45" s="629" t="s">
        <v>471</v>
      </c>
      <c r="D45" s="625" t="s">
        <v>916</v>
      </c>
      <c r="E45" s="447">
        <v>17000000</v>
      </c>
      <c r="F45" t="s">
        <v>421</v>
      </c>
      <c r="G45">
        <v>23</v>
      </c>
      <c r="I45">
        <f>+MATCH(Table2[[#This Row],[Nome]],MapaX!D:D,0)</f>
        <v>103</v>
      </c>
    </row>
    <row r="46" spans="1:9" ht="28.5" hidden="1" x14ac:dyDescent="0.25">
      <c r="A46" s="444"/>
      <c r="B46" s="444"/>
      <c r="C46" s="624" t="s">
        <v>471</v>
      </c>
      <c r="D46" s="625" t="s">
        <v>753</v>
      </c>
      <c r="E46" s="447">
        <v>1500000</v>
      </c>
      <c r="F46" t="s">
        <v>421</v>
      </c>
      <c r="G46">
        <v>23</v>
      </c>
      <c r="I46">
        <f>+MATCH(Table2[[#This Row],[Nome]],MapaX!D:D,0)</f>
        <v>104</v>
      </c>
    </row>
    <row r="47" spans="1:9" hidden="1" x14ac:dyDescent="0.25">
      <c r="A47" s="418"/>
      <c r="B47" s="418"/>
      <c r="C47" s="624" t="s">
        <v>471</v>
      </c>
      <c r="D47" s="627" t="s">
        <v>917</v>
      </c>
      <c r="E47" s="455"/>
      <c r="F47" t="s">
        <v>421</v>
      </c>
      <c r="G47">
        <v>23</v>
      </c>
      <c r="I47" t="e">
        <f>+MATCH(Table2[[#This Row],[Nome]],MapaX!D:D,0)</f>
        <v>#N/A</v>
      </c>
    </row>
    <row r="48" spans="1:9" ht="28.5" hidden="1" x14ac:dyDescent="0.25">
      <c r="A48" s="444"/>
      <c r="B48" s="444"/>
      <c r="C48" s="630" t="s">
        <v>471</v>
      </c>
      <c r="D48" s="627" t="s">
        <v>918</v>
      </c>
      <c r="E48" s="431">
        <v>8000000</v>
      </c>
      <c r="F48" t="s">
        <v>421</v>
      </c>
      <c r="G48">
        <v>23</v>
      </c>
      <c r="I48" t="e">
        <f>+MATCH(Table2[[#This Row],[Nome]],MapaX!D:D,0)</f>
        <v>#N/A</v>
      </c>
    </row>
    <row r="49" spans="1:9" ht="28.5" hidden="1" x14ac:dyDescent="0.25">
      <c r="A49" s="418"/>
      <c r="B49" s="418"/>
      <c r="C49" s="624" t="s">
        <v>471</v>
      </c>
      <c r="D49" s="627" t="s">
        <v>919</v>
      </c>
      <c r="E49" s="447">
        <v>12000000</v>
      </c>
      <c r="F49" t="s">
        <v>421</v>
      </c>
      <c r="G49">
        <v>23</v>
      </c>
      <c r="I49">
        <f>+MATCH(Table2[[#This Row],[Nome]],MapaX!D:D,0)</f>
        <v>106</v>
      </c>
    </row>
    <row r="50" spans="1:9" ht="42.75" hidden="1" x14ac:dyDescent="0.25">
      <c r="A50" s="418"/>
      <c r="B50" s="418"/>
      <c r="C50" s="626" t="s">
        <v>471</v>
      </c>
      <c r="D50" s="627" t="s">
        <v>920</v>
      </c>
      <c r="E50" s="455">
        <v>3500000</v>
      </c>
      <c r="F50" t="s">
        <v>421</v>
      </c>
      <c r="G50">
        <v>23</v>
      </c>
      <c r="I50">
        <f>+MATCH(Table2[[#This Row],[Nome]],MapaX!D:D,0)</f>
        <v>107</v>
      </c>
    </row>
    <row r="51" spans="1:9" ht="28.5" hidden="1" x14ac:dyDescent="0.25">
      <c r="A51" s="418"/>
      <c r="B51" s="418"/>
      <c r="C51" s="629" t="s">
        <v>471</v>
      </c>
      <c r="D51" s="627" t="s">
        <v>921</v>
      </c>
      <c r="E51" s="447">
        <v>20000000</v>
      </c>
      <c r="F51" t="s">
        <v>421</v>
      </c>
      <c r="G51">
        <v>23</v>
      </c>
      <c r="I51">
        <f>+MATCH(Table2[[#This Row],[Nome]],MapaX!D:D,0)</f>
        <v>108</v>
      </c>
    </row>
    <row r="52" spans="1:9" ht="28.5" hidden="1" x14ac:dyDescent="0.25">
      <c r="A52" s="418"/>
      <c r="B52" s="418"/>
      <c r="C52" s="629" t="s">
        <v>471</v>
      </c>
      <c r="D52" s="627" t="s">
        <v>922</v>
      </c>
      <c r="E52" s="447">
        <v>5000000</v>
      </c>
      <c r="F52" t="s">
        <v>421</v>
      </c>
      <c r="G52">
        <v>23</v>
      </c>
      <c r="I52" t="e">
        <f>+MATCH(Table2[[#This Row],[Nome]],MapaX!D:D,0)</f>
        <v>#N/A</v>
      </c>
    </row>
    <row r="53" spans="1:9" ht="28.5" hidden="1" x14ac:dyDescent="0.25">
      <c r="A53" s="418"/>
      <c r="B53" s="418"/>
      <c r="C53" s="629" t="s">
        <v>471</v>
      </c>
      <c r="D53" s="627" t="s">
        <v>923</v>
      </c>
      <c r="E53" s="447">
        <v>40000000</v>
      </c>
      <c r="F53" t="s">
        <v>421</v>
      </c>
      <c r="G53">
        <v>23</v>
      </c>
      <c r="I53">
        <f>+MATCH(Table2[[#This Row],[Nome]],MapaX!D:D,0)</f>
        <v>110</v>
      </c>
    </row>
    <row r="54" spans="1:9" ht="28.5" hidden="1" x14ac:dyDescent="0.25">
      <c r="A54" s="418"/>
      <c r="B54" s="418"/>
      <c r="C54" s="629" t="s">
        <v>471</v>
      </c>
      <c r="D54" s="627" t="s">
        <v>924</v>
      </c>
      <c r="E54" s="447">
        <v>14500000</v>
      </c>
      <c r="F54" t="s">
        <v>421</v>
      </c>
      <c r="G54">
        <v>23</v>
      </c>
      <c r="I54">
        <f>+MATCH(Table2[[#This Row],[Nome]],MapaX!D:D,0)</f>
        <v>111</v>
      </c>
    </row>
    <row r="55" spans="1:9" ht="42.75" hidden="1" x14ac:dyDescent="0.25">
      <c r="A55" s="418"/>
      <c r="B55" s="418"/>
      <c r="C55" s="629" t="s">
        <v>471</v>
      </c>
      <c r="D55" s="627" t="s">
        <v>925</v>
      </c>
      <c r="E55" s="414">
        <v>2000000</v>
      </c>
      <c r="F55" t="s">
        <v>421</v>
      </c>
      <c r="G55">
        <v>23</v>
      </c>
      <c r="I55">
        <f>+MATCH(Table2[[#This Row],[Nome]],MapaX!D:D,0)</f>
        <v>112</v>
      </c>
    </row>
    <row r="56" spans="1:9" ht="28.5" hidden="1" x14ac:dyDescent="0.25">
      <c r="A56" s="418"/>
      <c r="B56" s="418"/>
      <c r="C56" s="629" t="s">
        <v>471</v>
      </c>
      <c r="D56" s="625" t="s">
        <v>755</v>
      </c>
      <c r="E56" s="414">
        <v>2000000</v>
      </c>
      <c r="F56" t="s">
        <v>421</v>
      </c>
      <c r="G56">
        <v>23</v>
      </c>
      <c r="I56">
        <f>+MATCH(Table2[[#This Row],[Nome]],MapaX!D:D,0)</f>
        <v>113</v>
      </c>
    </row>
    <row r="57" spans="1:9" ht="28.5" hidden="1" x14ac:dyDescent="0.25">
      <c r="A57" s="444"/>
      <c r="B57" s="444"/>
      <c r="C57" s="629" t="s">
        <v>471</v>
      </c>
      <c r="D57" s="625" t="s">
        <v>926</v>
      </c>
      <c r="E57" s="414">
        <v>2500000</v>
      </c>
      <c r="F57" t="s">
        <v>421</v>
      </c>
      <c r="G57">
        <v>23</v>
      </c>
      <c r="I57" t="e">
        <f>+MATCH(Table2[[#This Row],[Nome]],MapaX!D:D,0)</f>
        <v>#N/A</v>
      </c>
    </row>
    <row r="58" spans="1:9" hidden="1" x14ac:dyDescent="0.25">
      <c r="A58" s="418"/>
      <c r="B58" s="418"/>
      <c r="C58" s="624" t="s">
        <v>471</v>
      </c>
      <c r="D58" s="625" t="s">
        <v>751</v>
      </c>
      <c r="E58" s="447">
        <v>500000</v>
      </c>
      <c r="F58" t="s">
        <v>410</v>
      </c>
      <c r="G58">
        <v>12</v>
      </c>
      <c r="I58" t="e">
        <f>+MATCH(Table2[[#This Row],[Nome]],MapaX!D:D,0)</f>
        <v>#N/A</v>
      </c>
    </row>
    <row r="59" spans="1:9" hidden="1" x14ac:dyDescent="0.25">
      <c r="A59" s="418"/>
      <c r="B59" s="458"/>
      <c r="C59" s="629" t="s">
        <v>471</v>
      </c>
      <c r="D59" s="631" t="s">
        <v>787</v>
      </c>
      <c r="E59" s="414">
        <v>13000000</v>
      </c>
      <c r="F59" t="s">
        <v>410</v>
      </c>
      <c r="G59">
        <v>12</v>
      </c>
      <c r="I59">
        <f>+MATCH(Table2[[#This Row],[Nome]],MapaX!D:D,0)</f>
        <v>119</v>
      </c>
    </row>
    <row r="60" spans="1:9" hidden="1" x14ac:dyDescent="0.25">
      <c r="C60" s="629" t="s">
        <v>451</v>
      </c>
      <c r="D60" s="625" t="s">
        <v>931</v>
      </c>
      <c r="E60" s="439">
        <v>1000000</v>
      </c>
      <c r="F60" t="s">
        <v>410</v>
      </c>
      <c r="G60">
        <v>12</v>
      </c>
      <c r="I60">
        <f>+MATCH(Table2[[#This Row],[Nome]],MapaX!D:D,0)</f>
        <v>122</v>
      </c>
    </row>
    <row r="61" spans="1:9" ht="15.75" x14ac:dyDescent="0.25">
      <c r="A61" s="366" t="s">
        <v>376</v>
      </c>
      <c r="B61" s="366"/>
      <c r="D61" s="474"/>
      <c r="E61" s="474"/>
    </row>
    <row r="62" spans="1:9" ht="15.75" x14ac:dyDescent="0.25">
      <c r="A62" s="478"/>
      <c r="B62" s="366"/>
      <c r="C62" s="366"/>
      <c r="D62" s="366"/>
      <c r="E62" s="366"/>
    </row>
    <row r="63" spans="1:9" ht="15.75" x14ac:dyDescent="0.25">
      <c r="A63" s="479" t="s">
        <v>377</v>
      </c>
      <c r="B63" s="479"/>
      <c r="C63" s="366"/>
      <c r="D63" s="366"/>
      <c r="E63" s="366"/>
    </row>
    <row r="64" spans="1:9" ht="15.75" x14ac:dyDescent="0.25">
      <c r="A64" s="480"/>
      <c r="B64" s="481"/>
      <c r="C64" s="479"/>
      <c r="D64" s="479"/>
      <c r="E64" s="479"/>
    </row>
    <row r="65" spans="1:5" ht="15.75" x14ac:dyDescent="0.25">
      <c r="A65" s="483" t="s">
        <v>378</v>
      </c>
      <c r="B65" s="483"/>
      <c r="C65" s="480"/>
      <c r="D65" s="480"/>
      <c r="E65" s="480"/>
    </row>
    <row r="66" spans="1:5" ht="15.75" x14ac:dyDescent="0.25">
      <c r="A66" s="300" t="s">
        <v>379</v>
      </c>
      <c r="B66" s="300"/>
      <c r="C66" s="483"/>
      <c r="D66" s="483"/>
      <c r="E66" s="483"/>
    </row>
    <row r="67" spans="1:5" ht="15.75" x14ac:dyDescent="0.25">
      <c r="A67" s="212"/>
      <c r="B67" s="212"/>
      <c r="C67" s="300"/>
      <c r="D67" s="300"/>
      <c r="E67" s="300"/>
    </row>
    <row r="68" spans="1:5" x14ac:dyDescent="0.25">
      <c r="C68" s="212"/>
      <c r="D68" s="212"/>
      <c r="E68" s="212"/>
    </row>
    <row r="69" spans="1:5" x14ac:dyDescent="0.25">
      <c r="D69" s="474"/>
      <c r="E69" s="474"/>
    </row>
    <row r="70" spans="1:5" x14ac:dyDescent="0.25">
      <c r="D70" s="484"/>
      <c r="E70" s="484"/>
    </row>
    <row r="71" spans="1:5" x14ac:dyDescent="0.25">
      <c r="D71" s="485"/>
      <c r="E71" s="485"/>
    </row>
    <row r="72" spans="1:5" x14ac:dyDescent="0.25">
      <c r="D72" s="485"/>
      <c r="E72" s="485"/>
    </row>
    <row r="73" spans="1:5" x14ac:dyDescent="0.25">
      <c r="D73" s="474"/>
      <c r="E73" s="474"/>
    </row>
    <row r="74" spans="1:5" x14ac:dyDescent="0.25">
      <c r="D74" s="484"/>
      <c r="E74" s="484"/>
    </row>
    <row r="75" spans="1:5" x14ac:dyDescent="0.25">
      <c r="D75" s="474"/>
      <c r="E75" s="474"/>
    </row>
    <row r="76" spans="1:5" x14ac:dyDescent="0.25">
      <c r="D76" s="474"/>
      <c r="E76" s="474"/>
    </row>
    <row r="77" spans="1:5" x14ac:dyDescent="0.25">
      <c r="D77" s="474"/>
      <c r="E77" s="474"/>
    </row>
    <row r="78" spans="1:5" x14ac:dyDescent="0.25">
      <c r="D78" s="484"/>
      <c r="E78" s="484"/>
    </row>
    <row r="79" spans="1:5" x14ac:dyDescent="0.25">
      <c r="D79" s="474"/>
      <c r="E79" s="474"/>
    </row>
    <row r="80" spans="1:5" x14ac:dyDescent="0.25">
      <c r="D80" s="474"/>
      <c r="E80" s="474"/>
    </row>
    <row r="81" spans="4:5" x14ac:dyDescent="0.25">
      <c r="D81" s="474"/>
      <c r="E81" s="474"/>
    </row>
    <row r="82" spans="4:5" x14ac:dyDescent="0.25">
      <c r="D82" s="484"/>
      <c r="E82" s="484"/>
    </row>
    <row r="83" spans="4:5" x14ac:dyDescent="0.25">
      <c r="D83" s="486"/>
      <c r="E83" s="486"/>
    </row>
    <row r="84" spans="4:5" x14ac:dyDescent="0.25">
      <c r="D84" s="474"/>
      <c r="E84" s="474"/>
    </row>
    <row r="85" spans="4:5" x14ac:dyDescent="0.25">
      <c r="D85" s="474"/>
      <c r="E85" s="474"/>
    </row>
    <row r="86" spans="4:5" x14ac:dyDescent="0.25">
      <c r="D86" s="484"/>
      <c r="E86" s="484"/>
    </row>
    <row r="87" spans="4:5" x14ac:dyDescent="0.25">
      <c r="D87" s="474"/>
      <c r="E87" s="474"/>
    </row>
    <row r="88" spans="4:5" x14ac:dyDescent="0.25">
      <c r="D88" s="474"/>
      <c r="E88" s="474"/>
    </row>
    <row r="89" spans="4:5" x14ac:dyDescent="0.25">
      <c r="D89" s="474"/>
      <c r="E89" s="474"/>
    </row>
    <row r="90" spans="4:5" x14ac:dyDescent="0.25">
      <c r="D90" s="474"/>
      <c r="E90" s="474"/>
    </row>
    <row r="91" spans="4:5" x14ac:dyDescent="0.25">
      <c r="D91" s="474"/>
      <c r="E91" s="474"/>
    </row>
    <row r="92" spans="4:5" x14ac:dyDescent="0.25">
      <c r="D92" s="474"/>
      <c r="E92" s="474"/>
    </row>
    <row r="93" spans="4:5" x14ac:dyDescent="0.25">
      <c r="D93" s="474"/>
      <c r="E93" s="474"/>
    </row>
    <row r="94" spans="4:5" x14ac:dyDescent="0.25">
      <c r="D94" s="474"/>
      <c r="E94" s="474"/>
    </row>
    <row r="95" spans="4:5" x14ac:dyDescent="0.25">
      <c r="D95" s="474"/>
      <c r="E95" s="474"/>
    </row>
    <row r="96" spans="4:5" x14ac:dyDescent="0.25">
      <c r="D96" s="474"/>
      <c r="E96" s="474"/>
    </row>
    <row r="97" spans="4:5" x14ac:dyDescent="0.25">
      <c r="D97" s="474"/>
      <c r="E97" s="474"/>
    </row>
    <row r="98" spans="4:5" x14ac:dyDescent="0.25">
      <c r="D98" s="484"/>
      <c r="E98" s="484"/>
    </row>
    <row r="99" spans="4:5" x14ac:dyDescent="0.25">
      <c r="D99" s="484"/>
      <c r="E99" s="484"/>
    </row>
    <row r="100" spans="4:5" x14ac:dyDescent="0.25">
      <c r="D100" s="474"/>
      <c r="E100" s="474"/>
    </row>
    <row r="101" spans="4:5" x14ac:dyDescent="0.25">
      <c r="D101" s="485"/>
      <c r="E101" s="485"/>
    </row>
    <row r="102" spans="4:5" x14ac:dyDescent="0.25">
      <c r="D102" s="486"/>
      <c r="E102" s="486"/>
    </row>
    <row r="103" spans="4:5" x14ac:dyDescent="0.25">
      <c r="D103" s="474"/>
      <c r="E103" s="474"/>
    </row>
    <row r="104" spans="4:5" x14ac:dyDescent="0.25">
      <c r="D104" s="474"/>
      <c r="E104" s="474"/>
    </row>
    <row r="105" spans="4:5" x14ac:dyDescent="0.25">
      <c r="D105" s="474"/>
      <c r="E105" s="474"/>
    </row>
    <row r="106" spans="4:5" x14ac:dyDescent="0.25">
      <c r="D106" s="474"/>
      <c r="E106" s="474"/>
    </row>
    <row r="107" spans="4:5" x14ac:dyDescent="0.25">
      <c r="D107" s="474"/>
      <c r="E107" s="474"/>
    </row>
    <row r="108" spans="4:5" x14ac:dyDescent="0.25">
      <c r="D108" s="474"/>
      <c r="E108" s="474"/>
    </row>
    <row r="109" spans="4:5" x14ac:dyDescent="0.25">
      <c r="D109" s="474"/>
      <c r="E109" s="474"/>
    </row>
    <row r="110" spans="4:5" x14ac:dyDescent="0.25">
      <c r="D110" s="474"/>
      <c r="E110" s="474"/>
    </row>
    <row r="111" spans="4:5" x14ac:dyDescent="0.25">
      <c r="D111" s="474"/>
      <c r="E111" s="474"/>
    </row>
    <row r="112" spans="4:5" x14ac:dyDescent="0.25">
      <c r="D112" s="487"/>
      <c r="E112" s="487"/>
    </row>
    <row r="113" spans="4:5" ht="15.75" x14ac:dyDescent="0.25">
      <c r="D113" s="488"/>
      <c r="E113" s="489"/>
    </row>
    <row r="114" spans="4:5" x14ac:dyDescent="0.25">
      <c r="D114" s="485"/>
      <c r="E114" s="485"/>
    </row>
    <row r="115" spans="4:5" x14ac:dyDescent="0.25">
      <c r="D115" s="485"/>
      <c r="E115" s="485"/>
    </row>
    <row r="116" spans="4:5" x14ac:dyDescent="0.25">
      <c r="D116" s="486"/>
      <c r="E116" s="485"/>
    </row>
    <row r="117" spans="4:5" x14ac:dyDescent="0.25">
      <c r="D117" s="486"/>
      <c r="E117" s="486"/>
    </row>
    <row r="118" spans="4:5" x14ac:dyDescent="0.25">
      <c r="D118" s="484"/>
      <c r="E118" s="484"/>
    </row>
    <row r="119" spans="4:5" x14ac:dyDescent="0.25">
      <c r="D119" s="485"/>
      <c r="E119" s="485"/>
    </row>
    <row r="120" spans="4:5" x14ac:dyDescent="0.25">
      <c r="D120" s="484"/>
      <c r="E120" s="484"/>
    </row>
    <row r="121" spans="4:5" x14ac:dyDescent="0.25">
      <c r="D121" s="485"/>
      <c r="E121" s="485"/>
    </row>
    <row r="122" spans="4:5" x14ac:dyDescent="0.25">
      <c r="D122" s="485"/>
      <c r="E122" s="485"/>
    </row>
    <row r="123" spans="4:5" x14ac:dyDescent="0.25">
      <c r="D123" s="474"/>
      <c r="E123" s="474"/>
    </row>
    <row r="124" spans="4:5" x14ac:dyDescent="0.25">
      <c r="D124" s="484"/>
      <c r="E124" s="484"/>
    </row>
    <row r="125" spans="4:5" x14ac:dyDescent="0.25">
      <c r="D125" s="474"/>
      <c r="E125" s="474"/>
    </row>
    <row r="126" spans="4:5" x14ac:dyDescent="0.25">
      <c r="D126" s="474"/>
      <c r="E126" s="474"/>
    </row>
    <row r="127" spans="4:5" x14ac:dyDescent="0.25">
      <c r="D127" s="474"/>
      <c r="E127" s="474"/>
    </row>
    <row r="128" spans="4:5" x14ac:dyDescent="0.25">
      <c r="D128" s="484"/>
      <c r="E128" s="484"/>
    </row>
    <row r="129" spans="4:5" x14ac:dyDescent="0.25">
      <c r="D129" s="474"/>
      <c r="E129" s="474"/>
    </row>
    <row r="130" spans="4:5" x14ac:dyDescent="0.25">
      <c r="D130" s="474"/>
      <c r="E130" s="474"/>
    </row>
    <row r="131" spans="4:5" x14ac:dyDescent="0.25">
      <c r="D131" s="484"/>
      <c r="E131" s="484"/>
    </row>
    <row r="132" spans="4:5" x14ac:dyDescent="0.25">
      <c r="D132" s="486"/>
      <c r="E132" s="486"/>
    </row>
    <row r="133" spans="4:5" x14ac:dyDescent="0.25">
      <c r="D133" s="474"/>
      <c r="E133" s="474"/>
    </row>
    <row r="134" spans="4:5" x14ac:dyDescent="0.25">
      <c r="D134" s="474"/>
      <c r="E134" s="474"/>
    </row>
    <row r="135" spans="4:5" x14ac:dyDescent="0.25">
      <c r="D135" s="484"/>
      <c r="E135" s="484"/>
    </row>
    <row r="136" spans="4:5" x14ac:dyDescent="0.25">
      <c r="D136" s="474"/>
      <c r="E136" s="474"/>
    </row>
    <row r="137" spans="4:5" x14ac:dyDescent="0.25">
      <c r="D137" s="474"/>
      <c r="E137" s="474"/>
    </row>
    <row r="138" spans="4:5" x14ac:dyDescent="0.25">
      <c r="D138" s="474"/>
      <c r="E138" s="474"/>
    </row>
    <row r="139" spans="4:5" x14ac:dyDescent="0.25">
      <c r="D139" s="474"/>
      <c r="E139" s="474"/>
    </row>
    <row r="140" spans="4:5" x14ac:dyDescent="0.25">
      <c r="D140" s="474"/>
      <c r="E140" s="474"/>
    </row>
    <row r="141" spans="4:5" x14ac:dyDescent="0.25">
      <c r="D141" s="474"/>
      <c r="E141" s="474"/>
    </row>
    <row r="142" spans="4:5" x14ac:dyDescent="0.25">
      <c r="D142" s="474"/>
      <c r="E142" s="474"/>
    </row>
    <row r="143" spans="4:5" x14ac:dyDescent="0.25">
      <c r="D143" s="474"/>
      <c r="E143" s="474"/>
    </row>
    <row r="144" spans="4:5" x14ac:dyDescent="0.25">
      <c r="D144" s="474"/>
      <c r="E144" s="474"/>
    </row>
    <row r="145" spans="4:5" x14ac:dyDescent="0.25">
      <c r="D145" s="474"/>
      <c r="E145" s="474"/>
    </row>
    <row r="146" spans="4:5" x14ac:dyDescent="0.25">
      <c r="D146" s="474"/>
      <c r="E146" s="474"/>
    </row>
    <row r="147" spans="4:5" x14ac:dyDescent="0.25">
      <c r="D147" s="484"/>
      <c r="E147" s="484"/>
    </row>
    <row r="148" spans="4:5" x14ac:dyDescent="0.25">
      <c r="D148" s="484"/>
      <c r="E148" s="484"/>
    </row>
    <row r="149" spans="4:5" x14ac:dyDescent="0.25">
      <c r="D149" s="484"/>
      <c r="E149" s="484"/>
    </row>
    <row r="150" spans="4:5" x14ac:dyDescent="0.25">
      <c r="D150" s="474"/>
      <c r="E150" s="474"/>
    </row>
    <row r="151" spans="4:5" x14ac:dyDescent="0.25">
      <c r="D151" s="485"/>
      <c r="E151" s="485"/>
    </row>
    <row r="152" spans="4:5" x14ac:dyDescent="0.25">
      <c r="D152" s="485"/>
      <c r="E152" s="485"/>
    </row>
    <row r="153" spans="4:5" x14ac:dyDescent="0.25">
      <c r="D153" s="486"/>
      <c r="E153" s="485"/>
    </row>
    <row r="154" spans="4:5" x14ac:dyDescent="0.25">
      <c r="D154" s="486"/>
      <c r="E154" s="486"/>
    </row>
    <row r="155" spans="4:5" x14ac:dyDescent="0.25">
      <c r="D155" s="484"/>
      <c r="E155" s="484"/>
    </row>
    <row r="156" spans="4:5" x14ac:dyDescent="0.25">
      <c r="D156" s="485"/>
      <c r="E156" s="485"/>
    </row>
    <row r="157" spans="4:5" x14ac:dyDescent="0.25">
      <c r="D157" s="484"/>
      <c r="E157" s="484"/>
    </row>
    <row r="158" spans="4:5" x14ac:dyDescent="0.25">
      <c r="D158" s="485"/>
      <c r="E158" s="485"/>
    </row>
    <row r="159" spans="4:5" x14ac:dyDescent="0.25">
      <c r="D159" s="485"/>
      <c r="E159" s="485"/>
    </row>
    <row r="160" spans="4:5" x14ac:dyDescent="0.25">
      <c r="D160" s="474"/>
      <c r="E160" s="474"/>
    </row>
    <row r="161" spans="4:5" x14ac:dyDescent="0.25">
      <c r="D161" s="484"/>
      <c r="E161" s="484"/>
    </row>
    <row r="162" spans="4:5" x14ac:dyDescent="0.25">
      <c r="D162" s="474"/>
      <c r="E162" s="474"/>
    </row>
    <row r="163" spans="4:5" x14ac:dyDescent="0.25">
      <c r="D163" s="474"/>
      <c r="E163" s="474"/>
    </row>
    <row r="164" spans="4:5" x14ac:dyDescent="0.25">
      <c r="D164" s="484"/>
      <c r="E164" s="484"/>
    </row>
    <row r="165" spans="4:5" x14ac:dyDescent="0.25">
      <c r="D165" s="474"/>
      <c r="E165" s="474"/>
    </row>
    <row r="166" spans="4:5" x14ac:dyDescent="0.25">
      <c r="D166" s="474"/>
      <c r="E166" s="474"/>
    </row>
    <row r="167" spans="4:5" x14ac:dyDescent="0.25">
      <c r="D167" s="474"/>
      <c r="E167" s="474"/>
    </row>
    <row r="168" spans="4:5" x14ac:dyDescent="0.25">
      <c r="D168" s="474"/>
      <c r="E168" s="474"/>
    </row>
    <row r="169" spans="4:5" x14ac:dyDescent="0.25">
      <c r="D169" s="474"/>
      <c r="E169" s="474"/>
    </row>
    <row r="170" spans="4:5" x14ac:dyDescent="0.25">
      <c r="D170" s="474"/>
      <c r="E170" s="474"/>
    </row>
    <row r="171" spans="4:5" x14ac:dyDescent="0.25">
      <c r="D171" s="474"/>
      <c r="E171" s="474"/>
    </row>
    <row r="172" spans="4:5" x14ac:dyDescent="0.25">
      <c r="D172" s="474"/>
      <c r="E172" s="474"/>
    </row>
    <row r="173" spans="4:5" x14ac:dyDescent="0.25">
      <c r="D173" s="474"/>
      <c r="E173" s="474"/>
    </row>
    <row r="174" spans="4:5" x14ac:dyDescent="0.25">
      <c r="D174" s="474"/>
      <c r="E174" s="474"/>
    </row>
    <row r="175" spans="4:5" x14ac:dyDescent="0.25">
      <c r="D175" s="474"/>
      <c r="E175" s="474"/>
    </row>
    <row r="176" spans="4:5" x14ac:dyDescent="0.25">
      <c r="D176" s="487"/>
      <c r="E176" s="487"/>
    </row>
    <row r="177" spans="4:5" ht="15.75" x14ac:dyDescent="0.25">
      <c r="D177" s="488"/>
      <c r="E177" s="489"/>
    </row>
    <row r="178" spans="4:5" x14ac:dyDescent="0.25">
      <c r="D178" s="485"/>
      <c r="E178" s="485"/>
    </row>
    <row r="179" spans="4:5" x14ac:dyDescent="0.25">
      <c r="D179" s="485"/>
      <c r="E179" s="485"/>
    </row>
    <row r="180" spans="4:5" x14ac:dyDescent="0.25">
      <c r="D180" s="486"/>
      <c r="E180" s="485"/>
    </row>
    <row r="181" spans="4:5" x14ac:dyDescent="0.25">
      <c r="D181" s="486"/>
      <c r="E181" s="486"/>
    </row>
    <row r="182" spans="4:5" x14ac:dyDescent="0.25">
      <c r="D182" s="484"/>
      <c r="E182" s="484"/>
    </row>
    <row r="183" spans="4:5" x14ac:dyDescent="0.25">
      <c r="D183" s="485"/>
      <c r="E183" s="485"/>
    </row>
    <row r="184" spans="4:5" x14ac:dyDescent="0.25">
      <c r="D184" s="485"/>
      <c r="E184" s="485"/>
    </row>
    <row r="185" spans="4:5" x14ac:dyDescent="0.25">
      <c r="D185" s="484"/>
      <c r="E185" s="484"/>
    </row>
    <row r="186" spans="4:5" x14ac:dyDescent="0.25">
      <c r="D186" s="485"/>
      <c r="E186" s="485"/>
    </row>
    <row r="187" spans="4:5" x14ac:dyDescent="0.25">
      <c r="D187" s="485"/>
      <c r="E187" s="485"/>
    </row>
    <row r="188" spans="4:5" x14ac:dyDescent="0.25">
      <c r="D188" s="474"/>
      <c r="E188" s="474"/>
    </row>
    <row r="189" spans="4:5" x14ac:dyDescent="0.25">
      <c r="D189" s="484"/>
      <c r="E189" s="484"/>
    </row>
    <row r="190" spans="4:5" x14ac:dyDescent="0.25">
      <c r="D190" s="474"/>
      <c r="E190" s="474"/>
    </row>
    <row r="191" spans="4:5" x14ac:dyDescent="0.25">
      <c r="D191" s="474"/>
      <c r="E191" s="474"/>
    </row>
    <row r="192" spans="4:5" x14ac:dyDescent="0.25">
      <c r="D192" s="474"/>
      <c r="E192" s="474"/>
    </row>
    <row r="193" spans="4:5" x14ac:dyDescent="0.25">
      <c r="D193" s="484"/>
      <c r="E193" s="484"/>
    </row>
    <row r="194" spans="4:5" x14ac:dyDescent="0.25">
      <c r="D194" s="474"/>
      <c r="E194" s="474"/>
    </row>
    <row r="195" spans="4:5" x14ac:dyDescent="0.25">
      <c r="D195" s="474"/>
      <c r="E195" s="474"/>
    </row>
    <row r="196" spans="4:5" x14ac:dyDescent="0.25">
      <c r="D196" s="474"/>
      <c r="E196" s="474"/>
    </row>
    <row r="197" spans="4:5" x14ac:dyDescent="0.25">
      <c r="D197" s="474"/>
      <c r="E197" s="474"/>
    </row>
    <row r="198" spans="4:5" x14ac:dyDescent="0.25">
      <c r="D198" s="474"/>
      <c r="E198" s="474"/>
    </row>
    <row r="199" spans="4:5" x14ac:dyDescent="0.25">
      <c r="D199" s="484"/>
      <c r="E199" s="484"/>
    </row>
    <row r="200" spans="4:5" x14ac:dyDescent="0.25">
      <c r="D200" s="486"/>
      <c r="E200" s="486"/>
    </row>
    <row r="201" spans="4:5" x14ac:dyDescent="0.25">
      <c r="D201" s="474"/>
      <c r="E201" s="474"/>
    </row>
    <row r="202" spans="4:5" x14ac:dyDescent="0.25">
      <c r="D202" s="474"/>
      <c r="E202" s="474"/>
    </row>
    <row r="203" spans="4:5" x14ac:dyDescent="0.25">
      <c r="D203" s="484"/>
      <c r="E203" s="484"/>
    </row>
    <row r="204" spans="4:5" x14ac:dyDescent="0.25">
      <c r="D204" s="474"/>
      <c r="E204" s="474"/>
    </row>
    <row r="205" spans="4:5" x14ac:dyDescent="0.25">
      <c r="D205" s="474"/>
      <c r="E205" s="474"/>
    </row>
    <row r="206" spans="4:5" x14ac:dyDescent="0.25">
      <c r="D206" s="474"/>
      <c r="E206" s="474"/>
    </row>
    <row r="207" spans="4:5" x14ac:dyDescent="0.25">
      <c r="D207" s="474"/>
      <c r="E207" s="474"/>
    </row>
    <row r="208" spans="4:5" x14ac:dyDescent="0.25">
      <c r="D208" s="474"/>
      <c r="E208" s="474"/>
    </row>
    <row r="209" spans="4:5" x14ac:dyDescent="0.25">
      <c r="D209" s="474"/>
      <c r="E209" s="474"/>
    </row>
    <row r="210" spans="4:5" x14ac:dyDescent="0.25">
      <c r="D210" s="474"/>
      <c r="E210" s="474"/>
    </row>
    <row r="211" spans="4:5" x14ac:dyDescent="0.25">
      <c r="D211" s="474"/>
      <c r="E211" s="474"/>
    </row>
    <row r="212" spans="4:5" x14ac:dyDescent="0.25">
      <c r="D212" s="474"/>
      <c r="E212" s="474"/>
    </row>
    <row r="213" spans="4:5" x14ac:dyDescent="0.25">
      <c r="D213" s="474"/>
      <c r="E213" s="474"/>
    </row>
    <row r="214" spans="4:5" x14ac:dyDescent="0.25">
      <c r="D214" s="474"/>
      <c r="E214" s="474"/>
    </row>
    <row r="215" spans="4:5" x14ac:dyDescent="0.25">
      <c r="D215" s="474"/>
      <c r="E215" s="474"/>
    </row>
    <row r="216" spans="4:5" x14ac:dyDescent="0.25">
      <c r="D216" s="484"/>
      <c r="E216" s="484"/>
    </row>
    <row r="217" spans="4:5" x14ac:dyDescent="0.25">
      <c r="D217" s="474"/>
      <c r="E217" s="474"/>
    </row>
    <row r="218" spans="4:5" x14ac:dyDescent="0.25">
      <c r="D218" s="474"/>
      <c r="E218" s="474"/>
    </row>
    <row r="219" spans="4:5" x14ac:dyDescent="0.25">
      <c r="D219" s="484"/>
      <c r="E219" s="484"/>
    </row>
    <row r="220" spans="4:5" x14ac:dyDescent="0.25">
      <c r="D220" s="474"/>
      <c r="E220" s="474"/>
    </row>
    <row r="221" spans="4:5" x14ac:dyDescent="0.25">
      <c r="D221" s="474"/>
      <c r="E221" s="474"/>
    </row>
    <row r="222" spans="4:5" x14ac:dyDescent="0.25">
      <c r="D222" s="474"/>
      <c r="E222" s="474"/>
    </row>
    <row r="223" spans="4:5" x14ac:dyDescent="0.25">
      <c r="D223" s="474"/>
      <c r="E223" s="474"/>
    </row>
    <row r="224" spans="4:5" x14ac:dyDescent="0.25">
      <c r="D224" s="474"/>
      <c r="E224" s="474"/>
    </row>
    <row r="225" spans="4:5" x14ac:dyDescent="0.25">
      <c r="D225" s="484"/>
      <c r="E225" s="484"/>
    </row>
    <row r="226" spans="4:5" x14ac:dyDescent="0.25">
      <c r="D226" s="474"/>
      <c r="E226" s="474"/>
    </row>
    <row r="227" spans="4:5" x14ac:dyDescent="0.25">
      <c r="D227" s="474"/>
      <c r="E227" s="474"/>
    </row>
    <row r="228" spans="4:5" x14ac:dyDescent="0.25">
      <c r="D228" s="485"/>
      <c r="E228" s="484"/>
    </row>
    <row r="229" spans="4:5" x14ac:dyDescent="0.25">
      <c r="D229" s="485"/>
      <c r="E229" s="484"/>
    </row>
    <row r="230" spans="4:5" x14ac:dyDescent="0.25">
      <c r="D230" s="485"/>
      <c r="E230" s="474"/>
    </row>
    <row r="231" spans="4:5" x14ac:dyDescent="0.25">
      <c r="D231" s="485"/>
      <c r="E231" s="485"/>
    </row>
    <row r="232" spans="4:5" x14ac:dyDescent="0.25">
      <c r="D232" s="485"/>
      <c r="E232" s="474"/>
    </row>
    <row r="233" spans="4:5" x14ac:dyDescent="0.25">
      <c r="D233" s="485"/>
      <c r="E233" s="474"/>
    </row>
    <row r="234" spans="4:5" x14ac:dyDescent="0.25">
      <c r="D234" s="485"/>
      <c r="E234" s="474"/>
    </row>
    <row r="235" spans="4:5" x14ac:dyDescent="0.25">
      <c r="D235" s="485"/>
      <c r="E235" s="484"/>
    </row>
    <row r="236" spans="4:5" x14ac:dyDescent="0.25">
      <c r="D236" s="485"/>
      <c r="E236" s="474"/>
    </row>
    <row r="237" spans="4:5" x14ac:dyDescent="0.25">
      <c r="D237" s="474"/>
      <c r="E237" s="474"/>
    </row>
    <row r="238" spans="4:5" x14ac:dyDescent="0.25">
      <c r="D238" s="210"/>
      <c r="E238" s="210"/>
    </row>
    <row r="239" spans="4:5" x14ac:dyDescent="0.25">
      <c r="D239" s="210"/>
      <c r="E239" s="210"/>
    </row>
    <row r="240" spans="4:5" x14ac:dyDescent="0.25">
      <c r="D240" s="210"/>
      <c r="E240" s="210"/>
    </row>
    <row r="241" spans="4:5" x14ac:dyDescent="0.25">
      <c r="D241" s="210"/>
      <c r="E241" s="210"/>
    </row>
    <row r="242" spans="4:5" x14ac:dyDescent="0.25">
      <c r="D242" s="210"/>
      <c r="E242" s="210"/>
    </row>
    <row r="243" spans="4:5" x14ac:dyDescent="0.25">
      <c r="D243" s="210"/>
      <c r="E243" s="210"/>
    </row>
    <row r="244" spans="4:5" x14ac:dyDescent="0.25">
      <c r="D244" s="210"/>
      <c r="E244" s="210"/>
    </row>
    <row r="245" spans="4:5" x14ac:dyDescent="0.25">
      <c r="D245" s="210"/>
      <c r="E245" s="210"/>
    </row>
    <row r="246" spans="4:5" x14ac:dyDescent="0.25">
      <c r="D246" s="210"/>
      <c r="E246" s="210"/>
    </row>
    <row r="247" spans="4:5" x14ac:dyDescent="0.25">
      <c r="D247" s="210"/>
      <c r="E247" s="210"/>
    </row>
    <row r="248" spans="4:5" x14ac:dyDescent="0.25">
      <c r="D248" s="210"/>
      <c r="E248" s="210"/>
    </row>
    <row r="249" spans="4:5" x14ac:dyDescent="0.25">
      <c r="D249" s="210"/>
      <c r="E249" s="210"/>
    </row>
    <row r="250" spans="4:5" x14ac:dyDescent="0.25">
      <c r="D250" s="210"/>
      <c r="E250" s="210"/>
    </row>
    <row r="251" spans="4:5" x14ac:dyDescent="0.25">
      <c r="D251" s="210"/>
      <c r="E251" s="210"/>
    </row>
    <row r="252" spans="4:5" x14ac:dyDescent="0.25">
      <c r="D252" s="210"/>
      <c r="E252" s="210"/>
    </row>
    <row r="253" spans="4:5" x14ac:dyDescent="0.25">
      <c r="D253" s="210"/>
      <c r="E253" s="210"/>
    </row>
    <row r="254" spans="4:5" x14ac:dyDescent="0.25">
      <c r="D254" s="210"/>
      <c r="E254" s="210"/>
    </row>
    <row r="255" spans="4:5" x14ac:dyDescent="0.25">
      <c r="D255" s="210"/>
      <c r="E255" s="210"/>
    </row>
    <row r="256" spans="4:5" x14ac:dyDescent="0.25">
      <c r="D256" s="210"/>
      <c r="E256" s="210"/>
    </row>
    <row r="257" spans="4:5" x14ac:dyDescent="0.25">
      <c r="D257" s="210"/>
      <c r="E257" s="210"/>
    </row>
    <row r="258" spans="4:5" x14ac:dyDescent="0.25">
      <c r="D258" s="210"/>
      <c r="E258" s="210"/>
    </row>
    <row r="259" spans="4:5" x14ac:dyDescent="0.25">
      <c r="D259" s="210"/>
      <c r="E259" s="210"/>
    </row>
    <row r="260" spans="4:5" x14ac:dyDescent="0.25">
      <c r="D260" s="210"/>
      <c r="E260" s="210"/>
    </row>
    <row r="261" spans="4:5" x14ac:dyDescent="0.25">
      <c r="D261" s="210"/>
      <c r="E261" s="210"/>
    </row>
    <row r="262" spans="4:5" x14ac:dyDescent="0.25">
      <c r="D262" s="210"/>
      <c r="E262" s="210"/>
    </row>
    <row r="263" spans="4:5" x14ac:dyDescent="0.25">
      <c r="D263" s="210"/>
      <c r="E263" s="210"/>
    </row>
    <row r="264" spans="4:5" x14ac:dyDescent="0.25">
      <c r="D264" s="210"/>
      <c r="E264" s="210"/>
    </row>
    <row r="265" spans="4:5" x14ac:dyDescent="0.25">
      <c r="D265" s="210"/>
      <c r="E265" s="210"/>
    </row>
    <row r="266" spans="4:5" x14ac:dyDescent="0.25">
      <c r="D266" s="210"/>
      <c r="E266" s="210"/>
    </row>
    <row r="267" spans="4:5" x14ac:dyDescent="0.25">
      <c r="D267" s="210"/>
      <c r="E267" s="210"/>
    </row>
    <row r="268" spans="4:5" x14ac:dyDescent="0.25">
      <c r="D268" s="125"/>
      <c r="E268" s="125"/>
    </row>
    <row r="269" spans="4:5" x14ac:dyDescent="0.25">
      <c r="D269" s="125"/>
      <c r="E269" s="125"/>
    </row>
    <row r="270" spans="4:5" x14ac:dyDescent="0.25">
      <c r="D270" s="125"/>
      <c r="E270" s="125"/>
    </row>
    <row r="271" spans="4:5" x14ac:dyDescent="0.25">
      <c r="D271" s="125"/>
      <c r="E271" s="125"/>
    </row>
    <row r="272" spans="4:5" x14ac:dyDescent="0.25">
      <c r="D272" s="125"/>
      <c r="E272" s="125"/>
    </row>
    <row r="273" spans="4:5" x14ac:dyDescent="0.25">
      <c r="D273" s="125"/>
      <c r="E273" s="125"/>
    </row>
    <row r="274" spans="4:5" x14ac:dyDescent="0.25">
      <c r="D274" s="125"/>
      <c r="E274" s="125"/>
    </row>
    <row r="275" spans="4:5" x14ac:dyDescent="0.25">
      <c r="D275" s="125"/>
      <c r="E275" s="125"/>
    </row>
    <row r="276" spans="4:5" x14ac:dyDescent="0.25">
      <c r="D276" s="125"/>
      <c r="E276" s="125"/>
    </row>
    <row r="277" spans="4:5" x14ac:dyDescent="0.25">
      <c r="D277" s="125"/>
      <c r="E277" s="125"/>
    </row>
    <row r="278" spans="4:5" x14ac:dyDescent="0.25">
      <c r="D278" s="125"/>
      <c r="E278" s="125"/>
    </row>
    <row r="279" spans="4:5" x14ac:dyDescent="0.25">
      <c r="D279" s="125"/>
      <c r="E279" s="125"/>
    </row>
    <row r="280" spans="4:5" x14ac:dyDescent="0.25">
      <c r="D280" s="125"/>
      <c r="E280" s="125"/>
    </row>
    <row r="281" spans="4:5" x14ac:dyDescent="0.25">
      <c r="D281" s="125"/>
      <c r="E281" s="125"/>
    </row>
    <row r="282" spans="4:5" x14ac:dyDescent="0.25">
      <c r="D282" s="125"/>
      <c r="E282" s="125"/>
    </row>
    <row r="283" spans="4:5" x14ac:dyDescent="0.25">
      <c r="D283" s="125"/>
      <c r="E283" s="125"/>
    </row>
    <row r="284" spans="4:5" x14ac:dyDescent="0.25">
      <c r="D284" s="125"/>
      <c r="E284" s="125"/>
    </row>
    <row r="285" spans="4:5" x14ac:dyDescent="0.25">
      <c r="D285" s="125"/>
      <c r="E285" s="125"/>
    </row>
    <row r="286" spans="4:5" x14ac:dyDescent="0.25">
      <c r="D286" s="125"/>
      <c r="E286" s="125"/>
    </row>
    <row r="287" spans="4:5" x14ac:dyDescent="0.25">
      <c r="D287" s="125"/>
      <c r="E287" s="125"/>
    </row>
    <row r="288" spans="4:5" x14ac:dyDescent="0.25">
      <c r="D288" s="125"/>
      <c r="E288" s="125"/>
    </row>
    <row r="289" spans="4:5" x14ac:dyDescent="0.25">
      <c r="D289" s="125"/>
      <c r="E289" s="125"/>
    </row>
    <row r="290" spans="4:5" x14ac:dyDescent="0.25">
      <c r="D290" s="125"/>
      <c r="E290" s="125"/>
    </row>
    <row r="291" spans="4:5" x14ac:dyDescent="0.25">
      <c r="D291" s="125"/>
      <c r="E291" s="125"/>
    </row>
    <row r="292" spans="4:5" x14ac:dyDescent="0.25">
      <c r="D292" s="125"/>
      <c r="E292" s="125"/>
    </row>
    <row r="293" spans="4:5" x14ac:dyDescent="0.25">
      <c r="D293" s="125"/>
      <c r="E293" s="125"/>
    </row>
    <row r="294" spans="4:5" x14ac:dyDescent="0.25">
      <c r="D294" s="125"/>
      <c r="E294" s="125"/>
    </row>
    <row r="295" spans="4:5" x14ac:dyDescent="0.25">
      <c r="D295" s="125"/>
      <c r="E295" s="125"/>
    </row>
    <row r="296" spans="4:5" x14ac:dyDescent="0.25">
      <c r="D296" s="125"/>
      <c r="E296" s="125"/>
    </row>
    <row r="297" spans="4:5" x14ac:dyDescent="0.25">
      <c r="D297" s="125"/>
      <c r="E297" s="125"/>
    </row>
    <row r="298" spans="4:5" x14ac:dyDescent="0.25">
      <c r="D298" s="125"/>
      <c r="E298" s="125"/>
    </row>
    <row r="299" spans="4:5" x14ac:dyDescent="0.25">
      <c r="D299" s="125"/>
      <c r="E299" s="125"/>
    </row>
  </sheetData>
  <pageMargins left="0.7" right="0.7" top="0.75" bottom="0.75" header="0.3" footer="0.3"/>
  <pageSetup orientation="portrait" r:id="rId2"/>
  <drawing r:id="rId3"/>
  <legacy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89"/>
  <sheetViews>
    <sheetView topLeftCell="G1" workbookViewId="0">
      <selection activeCell="J25" sqref="J25"/>
    </sheetView>
  </sheetViews>
  <sheetFormatPr defaultRowHeight="15" x14ac:dyDescent="0.25"/>
  <cols>
    <col min="1" max="1" width="5" style="132" hidden="1" customWidth="1"/>
    <col min="2" max="2" width="0" style="132" hidden="1" customWidth="1"/>
    <col min="3" max="3" width="22.28515625" style="132" hidden="1" customWidth="1"/>
    <col min="4" max="4" width="14.7109375" style="132" hidden="1" customWidth="1"/>
    <col min="5" max="5" width="19.5703125" style="132" hidden="1" customWidth="1"/>
    <col min="6" max="6" width="0" style="132" hidden="1" customWidth="1"/>
    <col min="7" max="7" width="9.140625" style="132"/>
    <col min="8" max="8" width="10.7109375" style="132" bestFit="1" customWidth="1"/>
    <col min="9" max="9" width="13.5703125" style="132" customWidth="1"/>
    <col min="10" max="10" width="20" style="132" customWidth="1"/>
    <col min="11" max="11" width="9.140625" style="132"/>
    <col min="12" max="12" width="15.5703125" style="132" customWidth="1"/>
    <col min="13" max="16384" width="9.140625" style="132"/>
  </cols>
  <sheetData>
    <row r="4" spans="2:12" ht="15.75" x14ac:dyDescent="0.25">
      <c r="B4" s="653" t="s">
        <v>0</v>
      </c>
      <c r="C4" s="653"/>
      <c r="D4" s="653"/>
      <c r="E4" s="653"/>
      <c r="F4" s="381"/>
      <c r="G4" s="381"/>
      <c r="H4" s="381"/>
      <c r="I4" s="381"/>
      <c r="J4" s="381"/>
    </row>
    <row r="5" spans="2:12" ht="15.75" x14ac:dyDescent="0.25">
      <c r="B5" s="653" t="s">
        <v>1</v>
      </c>
      <c r="C5" s="653"/>
      <c r="D5" s="653"/>
      <c r="E5" s="653"/>
      <c r="F5" s="381"/>
      <c r="G5" s="381"/>
      <c r="H5" s="381"/>
      <c r="I5" s="381"/>
      <c r="J5" s="381"/>
    </row>
    <row r="6" spans="2:12" ht="15.75" x14ac:dyDescent="0.25">
      <c r="B6" s="654" t="s">
        <v>981</v>
      </c>
      <c r="C6" s="654"/>
      <c r="D6" s="654"/>
      <c r="E6" s="654"/>
      <c r="F6" s="383"/>
      <c r="G6" s="383"/>
      <c r="H6" s="383"/>
      <c r="I6" s="383"/>
      <c r="J6" s="383"/>
    </row>
    <row r="7" spans="2:12" ht="10.5" customHeight="1" thickBot="1" x14ac:dyDescent="0.3"/>
    <row r="8" spans="2:12" x14ac:dyDescent="0.25">
      <c r="B8" s="655" t="s">
        <v>982</v>
      </c>
      <c r="C8" s="656"/>
      <c r="D8" s="656"/>
      <c r="E8" s="657"/>
    </row>
    <row r="9" spans="2:12" ht="15.75" thickBot="1" x14ac:dyDescent="0.3">
      <c r="B9" s="658"/>
      <c r="C9" s="659"/>
      <c r="D9" s="659"/>
      <c r="E9" s="660"/>
      <c r="I9" s="151"/>
      <c r="J9" s="151"/>
    </row>
    <row r="10" spans="2:12" x14ac:dyDescent="0.25">
      <c r="B10" s="578"/>
      <c r="C10" s="578"/>
      <c r="D10" s="578"/>
      <c r="E10" s="578"/>
      <c r="I10" s="151"/>
      <c r="J10" s="579" t="s">
        <v>983</v>
      </c>
    </row>
    <row r="11" spans="2:12" x14ac:dyDescent="0.25">
      <c r="B11" s="580"/>
      <c r="C11" s="581" t="s">
        <v>984</v>
      </c>
      <c r="D11" s="581" t="s">
        <v>985</v>
      </c>
      <c r="E11" s="581" t="s">
        <v>986</v>
      </c>
      <c r="I11" s="132" t="s">
        <v>987</v>
      </c>
    </row>
    <row r="12" spans="2:12" x14ac:dyDescent="0.25">
      <c r="B12" s="316">
        <v>1</v>
      </c>
      <c r="C12" s="582">
        <v>489647</v>
      </c>
      <c r="D12" s="583">
        <v>204569</v>
      </c>
      <c r="E12" s="583">
        <f t="shared" ref="E12:E23" si="0">+C12-D12</f>
        <v>285078</v>
      </c>
      <c r="H12" s="132" t="s">
        <v>988</v>
      </c>
      <c r="I12" s="132" t="s">
        <v>989</v>
      </c>
      <c r="J12" s="132" t="s">
        <v>990</v>
      </c>
    </row>
    <row r="13" spans="2:12" x14ac:dyDescent="0.25">
      <c r="B13" s="316">
        <v>2</v>
      </c>
      <c r="C13" s="582">
        <v>489647</v>
      </c>
      <c r="D13" s="583">
        <v>202906</v>
      </c>
      <c r="E13" s="583">
        <f t="shared" si="0"/>
        <v>286741</v>
      </c>
      <c r="H13" s="132" t="s">
        <v>991</v>
      </c>
      <c r="I13" s="142">
        <v>942128</v>
      </c>
      <c r="J13" s="142">
        <v>1774354</v>
      </c>
      <c r="L13" s="584"/>
    </row>
    <row r="14" spans="2:12" x14ac:dyDescent="0.25">
      <c r="B14" s="316">
        <v>3</v>
      </c>
      <c r="C14" s="582">
        <v>489647</v>
      </c>
      <c r="D14" s="583">
        <v>201234</v>
      </c>
      <c r="E14" s="583">
        <f t="shared" si="0"/>
        <v>288413</v>
      </c>
      <c r="H14" s="132" t="s">
        <v>992</v>
      </c>
      <c r="I14" s="142">
        <v>932288</v>
      </c>
      <c r="J14" s="142">
        <v>1784194</v>
      </c>
    </row>
    <row r="15" spans="2:12" x14ac:dyDescent="0.25">
      <c r="B15" s="316">
        <v>4</v>
      </c>
      <c r="C15" s="582">
        <v>489647</v>
      </c>
      <c r="D15" s="583">
        <v>199551</v>
      </c>
      <c r="E15" s="583">
        <f t="shared" si="0"/>
        <v>290096</v>
      </c>
      <c r="H15" s="132" t="s">
        <v>993</v>
      </c>
      <c r="I15" s="142">
        <v>922393</v>
      </c>
      <c r="J15" s="142">
        <v>1794089</v>
      </c>
    </row>
    <row r="16" spans="2:12" x14ac:dyDescent="0.25">
      <c r="B16" s="316">
        <v>5</v>
      </c>
      <c r="C16" s="582">
        <v>489647</v>
      </c>
      <c r="D16" s="583">
        <v>197859</v>
      </c>
      <c r="E16" s="583">
        <f t="shared" si="0"/>
        <v>291788</v>
      </c>
      <c r="H16" s="132" t="s">
        <v>994</v>
      </c>
      <c r="I16" s="142">
        <v>912442</v>
      </c>
      <c r="J16" s="142">
        <v>1804040</v>
      </c>
    </row>
    <row r="17" spans="1:10" x14ac:dyDescent="0.25">
      <c r="B17" s="316">
        <v>6</v>
      </c>
      <c r="C17" s="582">
        <v>489647</v>
      </c>
      <c r="D17" s="583">
        <v>196157</v>
      </c>
      <c r="E17" s="583">
        <f t="shared" si="0"/>
        <v>293490</v>
      </c>
      <c r="H17" s="132" t="s">
        <v>995</v>
      </c>
      <c r="I17" s="142">
        <v>902436</v>
      </c>
      <c r="J17" s="142">
        <v>1814046</v>
      </c>
    </row>
    <row r="18" spans="1:10" x14ac:dyDescent="0.25">
      <c r="B18" s="316">
        <v>7</v>
      </c>
      <c r="C18" s="582">
        <v>489647</v>
      </c>
      <c r="D18" s="583">
        <v>194445</v>
      </c>
      <c r="E18" s="583">
        <f t="shared" si="0"/>
        <v>295202</v>
      </c>
      <c r="H18" s="132" t="s">
        <v>996</v>
      </c>
      <c r="I18" s="142">
        <v>892372</v>
      </c>
      <c r="J18" s="142">
        <v>1824110</v>
      </c>
    </row>
    <row r="19" spans="1:10" x14ac:dyDescent="0.25">
      <c r="B19" s="316">
        <v>8</v>
      </c>
      <c r="C19" s="582">
        <v>489647</v>
      </c>
      <c r="D19" s="583">
        <v>192723</v>
      </c>
      <c r="E19" s="583">
        <f t="shared" si="0"/>
        <v>296924</v>
      </c>
      <c r="H19" s="132" t="s">
        <v>997</v>
      </c>
      <c r="I19" s="142">
        <v>882254</v>
      </c>
      <c r="J19" s="142">
        <v>1834228</v>
      </c>
    </row>
    <row r="20" spans="1:10" x14ac:dyDescent="0.25">
      <c r="B20" s="316">
        <v>9</v>
      </c>
      <c r="C20" s="582">
        <v>489647</v>
      </c>
      <c r="D20" s="583">
        <v>190991</v>
      </c>
      <c r="E20" s="583">
        <f t="shared" si="0"/>
        <v>298656</v>
      </c>
      <c r="H20" s="132" t="s">
        <v>998</v>
      </c>
      <c r="I20" s="142">
        <v>872079</v>
      </c>
      <c r="J20" s="142">
        <v>1844403</v>
      </c>
    </row>
    <row r="21" spans="1:10" x14ac:dyDescent="0.25">
      <c r="B21" s="316">
        <v>10</v>
      </c>
      <c r="C21" s="582">
        <v>489647</v>
      </c>
      <c r="D21" s="583">
        <v>189249</v>
      </c>
      <c r="E21" s="583">
        <f t="shared" si="0"/>
        <v>300398</v>
      </c>
      <c r="H21" s="132" t="s">
        <v>999</v>
      </c>
      <c r="I21" s="142">
        <v>861849</v>
      </c>
      <c r="J21" s="142">
        <v>1854633</v>
      </c>
    </row>
    <row r="22" spans="1:10" x14ac:dyDescent="0.25">
      <c r="B22" s="316">
        <v>11</v>
      </c>
      <c r="C22" s="582">
        <v>489647</v>
      </c>
      <c r="D22" s="583">
        <v>187496</v>
      </c>
      <c r="E22" s="583">
        <f t="shared" si="0"/>
        <v>302151</v>
      </c>
      <c r="H22" s="132" t="s">
        <v>1000</v>
      </c>
      <c r="I22" s="142">
        <v>851560</v>
      </c>
      <c r="J22" s="142">
        <v>1864922</v>
      </c>
    </row>
    <row r="23" spans="1:10" x14ac:dyDescent="0.25">
      <c r="B23" s="585">
        <v>12</v>
      </c>
      <c r="C23" s="582">
        <v>489647</v>
      </c>
      <c r="D23" s="586">
        <v>185734</v>
      </c>
      <c r="E23" s="583">
        <f t="shared" si="0"/>
        <v>303913</v>
      </c>
      <c r="H23" s="132" t="s">
        <v>1001</v>
      </c>
      <c r="I23" s="142">
        <v>841212</v>
      </c>
      <c r="J23" s="142">
        <v>1875270</v>
      </c>
    </row>
    <row r="24" spans="1:10" x14ac:dyDescent="0.25">
      <c r="A24" s="587"/>
      <c r="B24" s="649" t="s">
        <v>703</v>
      </c>
      <c r="C24" s="650"/>
      <c r="D24" s="588">
        <f>SUM(D12:D23)</f>
        <v>2342914</v>
      </c>
      <c r="E24" s="588">
        <f>SUM(E12:E23)</f>
        <v>3532850</v>
      </c>
      <c r="H24" s="132" t="s">
        <v>1002</v>
      </c>
      <c r="I24" s="142">
        <v>830810</v>
      </c>
      <c r="J24" s="142">
        <v>1885672</v>
      </c>
    </row>
    <row r="25" spans="1:10" x14ac:dyDescent="0.25">
      <c r="H25" s="132" t="s">
        <v>8</v>
      </c>
      <c r="I25" s="142">
        <v>10643823</v>
      </c>
      <c r="J25" s="142">
        <v>21953961</v>
      </c>
    </row>
    <row r="26" spans="1:10" x14ac:dyDescent="0.25">
      <c r="B26" s="580"/>
      <c r="C26" s="581" t="s">
        <v>1003</v>
      </c>
      <c r="D26" s="581" t="s">
        <v>985</v>
      </c>
      <c r="E26" s="581" t="s">
        <v>986</v>
      </c>
    </row>
    <row r="27" spans="1:10" x14ac:dyDescent="0.25">
      <c r="B27" s="316">
        <v>1</v>
      </c>
      <c r="C27" s="582">
        <v>491220</v>
      </c>
      <c r="D27" s="583">
        <v>177334</v>
      </c>
      <c r="E27" s="583">
        <f>+C27-D27</f>
        <v>313886</v>
      </c>
    </row>
    <row r="28" spans="1:10" x14ac:dyDescent="0.25">
      <c r="B28" s="316">
        <v>2</v>
      </c>
      <c r="C28" s="582">
        <v>491220</v>
      </c>
      <c r="D28" s="583">
        <v>175503</v>
      </c>
      <c r="E28" s="583">
        <f t="shared" ref="E28:E38" si="1">+C28-D28</f>
        <v>315717</v>
      </c>
    </row>
    <row r="29" spans="1:10" x14ac:dyDescent="0.25">
      <c r="B29" s="316">
        <v>3</v>
      </c>
      <c r="C29" s="582">
        <v>491220</v>
      </c>
      <c r="D29" s="583">
        <v>173661</v>
      </c>
      <c r="E29" s="583">
        <f t="shared" si="1"/>
        <v>317559</v>
      </c>
    </row>
    <row r="30" spans="1:10" x14ac:dyDescent="0.25">
      <c r="B30" s="316">
        <v>4</v>
      </c>
      <c r="C30" s="582">
        <v>491220</v>
      </c>
      <c r="D30" s="583">
        <v>171809</v>
      </c>
      <c r="E30" s="583">
        <f t="shared" si="1"/>
        <v>319411</v>
      </c>
    </row>
    <row r="31" spans="1:10" x14ac:dyDescent="0.25">
      <c r="B31" s="316">
        <v>5</v>
      </c>
      <c r="C31" s="582">
        <v>491220</v>
      </c>
      <c r="D31" s="583">
        <v>169945</v>
      </c>
      <c r="E31" s="583">
        <f t="shared" si="1"/>
        <v>321275</v>
      </c>
    </row>
    <row r="32" spans="1:10" x14ac:dyDescent="0.25">
      <c r="B32" s="316">
        <v>6</v>
      </c>
      <c r="C32" s="582">
        <v>491220</v>
      </c>
      <c r="D32" s="583">
        <v>168071</v>
      </c>
      <c r="E32" s="583">
        <f t="shared" si="1"/>
        <v>323149</v>
      </c>
    </row>
    <row r="33" spans="2:5" x14ac:dyDescent="0.25">
      <c r="B33" s="316">
        <v>7</v>
      </c>
      <c r="C33" s="582">
        <v>491220</v>
      </c>
      <c r="D33" s="583">
        <v>166186</v>
      </c>
      <c r="E33" s="583">
        <f t="shared" si="1"/>
        <v>325034</v>
      </c>
    </row>
    <row r="34" spans="2:5" x14ac:dyDescent="0.25">
      <c r="B34" s="316">
        <v>8</v>
      </c>
      <c r="C34" s="582">
        <v>491220</v>
      </c>
      <c r="D34" s="583">
        <v>164290</v>
      </c>
      <c r="E34" s="583">
        <f t="shared" si="1"/>
        <v>326930</v>
      </c>
    </row>
    <row r="35" spans="2:5" x14ac:dyDescent="0.25">
      <c r="B35" s="316">
        <v>9</v>
      </c>
      <c r="C35" s="582">
        <v>491220</v>
      </c>
      <c r="D35" s="583">
        <v>162383</v>
      </c>
      <c r="E35" s="583">
        <f t="shared" si="1"/>
        <v>328837</v>
      </c>
    </row>
    <row r="36" spans="2:5" x14ac:dyDescent="0.25">
      <c r="B36" s="316">
        <v>10</v>
      </c>
      <c r="C36" s="582">
        <v>491220</v>
      </c>
      <c r="D36" s="583">
        <v>160465</v>
      </c>
      <c r="E36" s="583">
        <f t="shared" si="1"/>
        <v>330755</v>
      </c>
    </row>
    <row r="37" spans="2:5" x14ac:dyDescent="0.25">
      <c r="B37" s="316">
        <v>11</v>
      </c>
      <c r="C37" s="582">
        <v>491220</v>
      </c>
      <c r="D37" s="583">
        <v>158535</v>
      </c>
      <c r="E37" s="583">
        <f t="shared" si="1"/>
        <v>332685</v>
      </c>
    </row>
    <row r="38" spans="2:5" x14ac:dyDescent="0.25">
      <c r="B38" s="316">
        <v>12</v>
      </c>
      <c r="C38" s="582">
        <v>491220</v>
      </c>
      <c r="D38" s="583">
        <v>156595</v>
      </c>
      <c r="E38" s="583">
        <f t="shared" si="1"/>
        <v>334625</v>
      </c>
    </row>
    <row r="39" spans="2:5" x14ac:dyDescent="0.25">
      <c r="B39" s="649" t="s">
        <v>703</v>
      </c>
      <c r="C39" s="650"/>
      <c r="D39" s="589">
        <f>SUM(D27:D38)</f>
        <v>2004777</v>
      </c>
      <c r="E39" s="590">
        <f>SUM(E27:E38)</f>
        <v>3889863</v>
      </c>
    </row>
    <row r="41" spans="2:5" x14ac:dyDescent="0.25">
      <c r="B41" s="580"/>
      <c r="C41" s="581" t="s">
        <v>1004</v>
      </c>
      <c r="D41" s="581" t="s">
        <v>985</v>
      </c>
      <c r="E41" s="581" t="s">
        <v>986</v>
      </c>
    </row>
    <row r="42" spans="2:5" x14ac:dyDescent="0.25">
      <c r="B42" s="316">
        <v>1</v>
      </c>
      <c r="C42" s="646" t="s">
        <v>1005</v>
      </c>
      <c r="D42" s="583"/>
      <c r="E42" s="583">
        <v>0</v>
      </c>
    </row>
    <row r="43" spans="2:5" x14ac:dyDescent="0.25">
      <c r="B43" s="316">
        <v>2</v>
      </c>
      <c r="C43" s="647"/>
      <c r="D43" s="583"/>
      <c r="E43" s="583">
        <f>+C43-D43</f>
        <v>0</v>
      </c>
    </row>
    <row r="44" spans="2:5" x14ac:dyDescent="0.25">
      <c r="B44" s="316">
        <v>3</v>
      </c>
      <c r="C44" s="648"/>
      <c r="D44" s="583"/>
      <c r="E44" s="583">
        <f>+C44-D44</f>
        <v>0</v>
      </c>
    </row>
    <row r="45" spans="2:5" x14ac:dyDescent="0.25">
      <c r="B45" s="649" t="s">
        <v>703</v>
      </c>
      <c r="C45" s="650"/>
      <c r="D45" s="588">
        <f>SUM(D42:D44)</f>
        <v>0</v>
      </c>
      <c r="E45" s="588">
        <f>SUM(E42:E44)</f>
        <v>0</v>
      </c>
    </row>
    <row r="48" spans="2:5" x14ac:dyDescent="0.25">
      <c r="B48" s="580"/>
      <c r="C48" s="581" t="s">
        <v>1006</v>
      </c>
      <c r="D48" s="581" t="s">
        <v>985</v>
      </c>
      <c r="E48" s="581" t="s">
        <v>986</v>
      </c>
    </row>
    <row r="49" spans="2:5" x14ac:dyDescent="0.25">
      <c r="B49" s="316">
        <v>1</v>
      </c>
      <c r="C49" s="582">
        <v>461403</v>
      </c>
      <c r="D49" s="583">
        <v>87733</v>
      </c>
      <c r="E49" s="583">
        <f>+C49-D49</f>
        <v>373670</v>
      </c>
    </row>
    <row r="50" spans="2:5" x14ac:dyDescent="0.25">
      <c r="B50" s="316">
        <v>2</v>
      </c>
      <c r="C50" s="582">
        <v>461403</v>
      </c>
      <c r="D50" s="583">
        <v>85896</v>
      </c>
      <c r="E50" s="583">
        <f t="shared" ref="E50:E60" si="2">+C50-D50</f>
        <v>375507</v>
      </c>
    </row>
    <row r="51" spans="2:5" x14ac:dyDescent="0.25">
      <c r="B51" s="316">
        <v>3</v>
      </c>
      <c r="C51" s="582">
        <v>461403</v>
      </c>
      <c r="D51" s="583">
        <v>84050</v>
      </c>
      <c r="E51" s="583">
        <f t="shared" si="2"/>
        <v>377353</v>
      </c>
    </row>
    <row r="52" spans="2:5" x14ac:dyDescent="0.25">
      <c r="B52" s="316">
        <v>4</v>
      </c>
      <c r="C52" s="582">
        <v>461403</v>
      </c>
      <c r="D52" s="583">
        <v>82194</v>
      </c>
      <c r="E52" s="583">
        <f t="shared" si="2"/>
        <v>379209</v>
      </c>
    </row>
    <row r="53" spans="2:5" x14ac:dyDescent="0.25">
      <c r="B53" s="316">
        <v>5</v>
      </c>
      <c r="C53" s="582">
        <v>461403</v>
      </c>
      <c r="D53" s="583">
        <v>80330</v>
      </c>
      <c r="E53" s="583">
        <f t="shared" si="2"/>
        <v>381073</v>
      </c>
    </row>
    <row r="54" spans="2:5" x14ac:dyDescent="0.25">
      <c r="B54" s="316">
        <v>6</v>
      </c>
      <c r="C54" s="582">
        <v>461403</v>
      </c>
      <c r="D54" s="583">
        <v>78456</v>
      </c>
      <c r="E54" s="583">
        <f t="shared" si="2"/>
        <v>382947</v>
      </c>
    </row>
    <row r="55" spans="2:5" x14ac:dyDescent="0.25">
      <c r="B55" s="316">
        <v>7</v>
      </c>
      <c r="C55" s="582">
        <v>461403</v>
      </c>
      <c r="D55" s="583">
        <v>76573</v>
      </c>
      <c r="E55" s="583">
        <f t="shared" si="2"/>
        <v>384830</v>
      </c>
    </row>
    <row r="56" spans="2:5" x14ac:dyDescent="0.25">
      <c r="B56" s="316">
        <v>8</v>
      </c>
      <c r="C56" s="582">
        <v>461403</v>
      </c>
      <c r="D56" s="583">
        <v>74681</v>
      </c>
      <c r="E56" s="583">
        <f t="shared" si="2"/>
        <v>386722</v>
      </c>
    </row>
    <row r="57" spans="2:5" x14ac:dyDescent="0.25">
      <c r="B57" s="316">
        <v>9</v>
      </c>
      <c r="C57" s="582">
        <v>461403</v>
      </c>
      <c r="D57" s="583">
        <v>72780</v>
      </c>
      <c r="E57" s="583">
        <f t="shared" si="2"/>
        <v>388623</v>
      </c>
    </row>
    <row r="58" spans="2:5" x14ac:dyDescent="0.25">
      <c r="B58" s="316">
        <v>10</v>
      </c>
      <c r="C58" s="582">
        <v>461403</v>
      </c>
      <c r="D58" s="583">
        <v>70869</v>
      </c>
      <c r="E58" s="583">
        <f t="shared" si="2"/>
        <v>390534</v>
      </c>
    </row>
    <row r="59" spans="2:5" x14ac:dyDescent="0.25">
      <c r="B59" s="316">
        <v>11</v>
      </c>
      <c r="C59" s="582">
        <v>461403</v>
      </c>
      <c r="D59" s="583">
        <v>68949</v>
      </c>
      <c r="E59" s="583">
        <f t="shared" si="2"/>
        <v>392454</v>
      </c>
    </row>
    <row r="60" spans="2:5" x14ac:dyDescent="0.25">
      <c r="B60" s="585">
        <v>12</v>
      </c>
      <c r="C60" s="582">
        <v>461403</v>
      </c>
      <c r="D60" s="586">
        <v>67019</v>
      </c>
      <c r="E60" s="586">
        <f t="shared" si="2"/>
        <v>394384</v>
      </c>
    </row>
    <row r="61" spans="2:5" x14ac:dyDescent="0.25">
      <c r="B61" s="649" t="s">
        <v>703</v>
      </c>
      <c r="C61" s="650"/>
      <c r="D61" s="588">
        <f>SUM(D49:D60)</f>
        <v>929530</v>
      </c>
      <c r="E61" s="588">
        <f>SUM(E49:E60)</f>
        <v>4607306</v>
      </c>
    </row>
    <row r="63" spans="2:5" x14ac:dyDescent="0.25">
      <c r="B63" s="580"/>
      <c r="C63" s="581" t="s">
        <v>1007</v>
      </c>
      <c r="D63" s="581" t="s">
        <v>985</v>
      </c>
      <c r="E63" s="581" t="s">
        <v>986</v>
      </c>
    </row>
    <row r="64" spans="2:5" x14ac:dyDescent="0.25">
      <c r="B64" s="316">
        <v>1</v>
      </c>
      <c r="C64" s="582">
        <v>751198</v>
      </c>
      <c r="D64" s="583">
        <v>189564</v>
      </c>
      <c r="E64" s="583">
        <f>+C64-D64</f>
        <v>561634</v>
      </c>
    </row>
    <row r="65" spans="2:5" x14ac:dyDescent="0.25">
      <c r="B65" s="316">
        <v>2</v>
      </c>
      <c r="C65" s="582">
        <v>751198</v>
      </c>
      <c r="D65" s="583">
        <v>186288</v>
      </c>
      <c r="E65" s="583">
        <f t="shared" ref="E65:E75" si="3">+C65-D65</f>
        <v>564910</v>
      </c>
    </row>
    <row r="66" spans="2:5" x14ac:dyDescent="0.25">
      <c r="B66" s="316">
        <v>3</v>
      </c>
      <c r="C66" s="582">
        <v>751198</v>
      </c>
      <c r="D66" s="583">
        <v>182993</v>
      </c>
      <c r="E66" s="583">
        <f t="shared" si="3"/>
        <v>568205</v>
      </c>
    </row>
    <row r="67" spans="2:5" x14ac:dyDescent="0.25">
      <c r="B67" s="316">
        <v>4</v>
      </c>
      <c r="C67" s="582">
        <v>751198</v>
      </c>
      <c r="D67" s="583">
        <v>179678</v>
      </c>
      <c r="E67" s="583">
        <f t="shared" si="3"/>
        <v>571520</v>
      </c>
    </row>
    <row r="68" spans="2:5" x14ac:dyDescent="0.25">
      <c r="B68" s="316">
        <v>5</v>
      </c>
      <c r="C68" s="582">
        <v>751198</v>
      </c>
      <c r="D68" s="583">
        <v>176344</v>
      </c>
      <c r="E68" s="583">
        <f t="shared" si="3"/>
        <v>574854</v>
      </c>
    </row>
    <row r="69" spans="2:5" x14ac:dyDescent="0.25">
      <c r="B69" s="316">
        <v>6</v>
      </c>
      <c r="C69" s="582">
        <v>751198</v>
      </c>
      <c r="D69" s="583">
        <v>172991</v>
      </c>
      <c r="E69" s="583">
        <f t="shared" si="3"/>
        <v>578207</v>
      </c>
    </row>
    <row r="70" spans="2:5" x14ac:dyDescent="0.25">
      <c r="B70" s="316">
        <v>7</v>
      </c>
      <c r="C70" s="582">
        <v>751198</v>
      </c>
      <c r="D70" s="583">
        <v>169618</v>
      </c>
      <c r="E70" s="583">
        <f t="shared" si="3"/>
        <v>581580</v>
      </c>
    </row>
    <row r="71" spans="2:5" x14ac:dyDescent="0.25">
      <c r="B71" s="316">
        <v>8</v>
      </c>
      <c r="C71" s="582">
        <v>751198</v>
      </c>
      <c r="D71" s="583">
        <v>166226</v>
      </c>
      <c r="E71" s="583">
        <f t="shared" si="3"/>
        <v>584972</v>
      </c>
    </row>
    <row r="72" spans="2:5" x14ac:dyDescent="0.25">
      <c r="B72" s="316">
        <v>9</v>
      </c>
      <c r="C72" s="582">
        <v>751198</v>
      </c>
      <c r="D72" s="583">
        <v>162813</v>
      </c>
      <c r="E72" s="583">
        <f t="shared" si="3"/>
        <v>588385</v>
      </c>
    </row>
    <row r="73" spans="2:5" x14ac:dyDescent="0.25">
      <c r="B73" s="316">
        <v>10</v>
      </c>
      <c r="C73" s="582">
        <v>751198</v>
      </c>
      <c r="D73" s="583">
        <v>159381</v>
      </c>
      <c r="E73" s="583">
        <f t="shared" si="3"/>
        <v>591817</v>
      </c>
    </row>
    <row r="74" spans="2:5" x14ac:dyDescent="0.25">
      <c r="B74" s="316">
        <v>11</v>
      </c>
      <c r="C74" s="582">
        <v>751198</v>
      </c>
      <c r="D74" s="583">
        <v>155929</v>
      </c>
      <c r="E74" s="583">
        <f t="shared" si="3"/>
        <v>595269</v>
      </c>
    </row>
    <row r="75" spans="2:5" x14ac:dyDescent="0.25">
      <c r="B75" s="585">
        <v>12</v>
      </c>
      <c r="C75" s="582">
        <v>751198</v>
      </c>
      <c r="D75" s="586">
        <v>152456</v>
      </c>
      <c r="E75" s="586">
        <f t="shared" si="3"/>
        <v>598742</v>
      </c>
    </row>
    <row r="76" spans="2:5" x14ac:dyDescent="0.25">
      <c r="B76" s="649" t="s">
        <v>703</v>
      </c>
      <c r="C76" s="650"/>
      <c r="D76" s="588">
        <f>SUM(D64:D75)</f>
        <v>2054281</v>
      </c>
      <c r="E76" s="588">
        <f>SUM(E64:E75)</f>
        <v>6960095</v>
      </c>
    </row>
    <row r="79" spans="2:5" x14ac:dyDescent="0.25">
      <c r="C79" s="651" t="s">
        <v>1008</v>
      </c>
      <c r="D79" s="651"/>
      <c r="E79" s="591">
        <f>+D76+D61+D45+D39+D24</f>
        <v>7331502</v>
      </c>
    </row>
    <row r="80" spans="2:5" x14ac:dyDescent="0.25">
      <c r="C80" s="652" t="s">
        <v>1009</v>
      </c>
      <c r="D80" s="652"/>
      <c r="E80" s="592">
        <f>+E61+E45+E39+E24+E76</f>
        <v>18990114</v>
      </c>
    </row>
    <row r="83" spans="2:5" x14ac:dyDescent="0.25">
      <c r="B83" s="642" t="s">
        <v>1010</v>
      </c>
      <c r="C83" s="642"/>
      <c r="D83" s="642"/>
      <c r="E83" s="642"/>
    </row>
    <row r="84" spans="2:5" x14ac:dyDescent="0.25">
      <c r="B84" s="593"/>
      <c r="C84" s="593"/>
      <c r="D84" s="593"/>
    </row>
    <row r="85" spans="2:5" x14ac:dyDescent="0.25">
      <c r="B85" s="593"/>
      <c r="C85" s="593"/>
      <c r="D85" s="593"/>
    </row>
    <row r="86" spans="2:5" x14ac:dyDescent="0.25">
      <c r="B86" s="643" t="s">
        <v>377</v>
      </c>
      <c r="C86" s="643"/>
      <c r="D86" s="643"/>
      <c r="E86" s="643"/>
    </row>
    <row r="87" spans="2:5" x14ac:dyDescent="0.25">
      <c r="B87" s="594"/>
      <c r="C87" s="594"/>
      <c r="D87" s="594"/>
    </row>
    <row r="88" spans="2:5" x14ac:dyDescent="0.25">
      <c r="B88" s="644" t="s">
        <v>378</v>
      </c>
      <c r="C88" s="644"/>
      <c r="D88" s="644"/>
      <c r="E88" s="644"/>
    </row>
    <row r="89" spans="2:5" x14ac:dyDescent="0.25">
      <c r="B89" s="645" t="s">
        <v>379</v>
      </c>
      <c r="C89" s="645"/>
      <c r="D89" s="645"/>
      <c r="E89" s="645"/>
    </row>
  </sheetData>
  <mergeCells count="16">
    <mergeCell ref="B39:C39"/>
    <mergeCell ref="B4:E4"/>
    <mergeCell ref="B5:E5"/>
    <mergeCell ref="B6:E6"/>
    <mergeCell ref="B8:E9"/>
    <mergeCell ref="B24:C24"/>
    <mergeCell ref="B83:E83"/>
    <mergeCell ref="B86:E86"/>
    <mergeCell ref="B88:E88"/>
    <mergeCell ref="B89:E89"/>
    <mergeCell ref="C42:C44"/>
    <mergeCell ref="B45:C45"/>
    <mergeCell ref="B61:C61"/>
    <mergeCell ref="B76:C76"/>
    <mergeCell ref="C79:D79"/>
    <mergeCell ref="C80:D80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D380"/>
  <sheetViews>
    <sheetView topLeftCell="A100" zoomScale="90" zoomScaleNormal="90" workbookViewId="0">
      <selection activeCell="S119" sqref="S119"/>
    </sheetView>
  </sheetViews>
  <sheetFormatPr defaultColWidth="14.42578125" defaultRowHeight="14.25" customHeight="1" x14ac:dyDescent="0.2"/>
  <cols>
    <col min="1" max="1" width="1.7109375" style="4" customWidth="1"/>
    <col min="2" max="2" width="17.85546875" style="4" customWidth="1"/>
    <col min="3" max="3" width="57.42578125" style="4" customWidth="1"/>
    <col min="4" max="4" width="16.85546875" style="10" customWidth="1"/>
    <col min="5" max="5" width="19.42578125" style="4" customWidth="1"/>
    <col min="6" max="6" width="18.5703125" style="4" customWidth="1"/>
    <col min="7" max="7" width="3.140625" style="4" customWidth="1"/>
    <col min="8" max="8" width="16.7109375" style="1" hidden="1" customWidth="1"/>
    <col min="9" max="9" width="14.42578125" style="1" hidden="1" customWidth="1"/>
    <col min="10" max="10" width="15" style="1" hidden="1" customWidth="1"/>
    <col min="11" max="11" width="14.42578125" style="1" hidden="1" customWidth="1"/>
    <col min="12" max="12" width="19.140625" style="1" hidden="1" customWidth="1"/>
    <col min="13" max="13" width="9" style="2" hidden="1" customWidth="1"/>
    <col min="14" max="14" width="16.5703125" style="1" hidden="1" customWidth="1"/>
    <col min="15" max="15" width="6.28515625" style="1" hidden="1" customWidth="1"/>
    <col min="16" max="16" width="14.28515625" style="3" hidden="1" customWidth="1"/>
    <col min="17" max="17" width="2.42578125" style="4" customWidth="1"/>
    <col min="18" max="20" width="14.42578125" style="4"/>
    <col min="21" max="21" width="19.28515625" style="4" customWidth="1"/>
    <col min="22" max="16384" width="14.42578125" style="4"/>
  </cols>
  <sheetData>
    <row r="1" spans="2:24" ht="14.25" customHeight="1" x14ac:dyDescent="0.25">
      <c r="B1" s="665"/>
      <c r="C1" s="665"/>
      <c r="D1" s="665"/>
      <c r="E1" s="665"/>
      <c r="F1" s="665"/>
      <c r="G1" s="665"/>
      <c r="H1" s="665"/>
      <c r="I1" s="665"/>
      <c r="J1" s="665"/>
    </row>
    <row r="2" spans="2:24" ht="14.25" customHeight="1" x14ac:dyDescent="0.2">
      <c r="B2" s="666"/>
      <c r="C2" s="666"/>
      <c r="D2" s="666"/>
      <c r="E2" s="666"/>
      <c r="F2" s="666"/>
      <c r="G2" s="666"/>
      <c r="H2" s="666"/>
      <c r="I2" s="666"/>
      <c r="J2" s="666"/>
    </row>
    <row r="3" spans="2:24" ht="14.25" customHeight="1" x14ac:dyDescent="0.2">
      <c r="B3" s="5"/>
      <c r="C3" s="5"/>
      <c r="D3" s="5"/>
      <c r="E3" s="5"/>
      <c r="F3" s="5"/>
      <c r="G3" s="5"/>
      <c r="H3" s="5"/>
      <c r="I3" s="5"/>
      <c r="J3" s="5"/>
    </row>
    <row r="4" spans="2:24" ht="14.25" customHeight="1" x14ac:dyDescent="0.2">
      <c r="B4" s="5"/>
      <c r="C4" s="5"/>
      <c r="D4" s="5"/>
      <c r="E4" s="5"/>
      <c r="F4" s="5"/>
      <c r="G4" s="5"/>
      <c r="H4" s="5"/>
      <c r="I4" s="5"/>
      <c r="J4" s="5"/>
    </row>
    <row r="5" spans="2:24" ht="20.25" customHeight="1" x14ac:dyDescent="0.25">
      <c r="B5" s="667" t="s">
        <v>0</v>
      </c>
      <c r="C5" s="667"/>
      <c r="D5" s="6"/>
      <c r="E5" s="6"/>
      <c r="F5" s="6"/>
      <c r="G5" s="6"/>
      <c r="H5" s="6"/>
      <c r="I5" s="6"/>
      <c r="J5" s="6"/>
    </row>
    <row r="6" spans="2:24" ht="14.25" customHeight="1" x14ac:dyDescent="0.25">
      <c r="B6" s="667" t="s">
        <v>1</v>
      </c>
      <c r="C6" s="667"/>
      <c r="D6" s="6"/>
      <c r="E6" s="6"/>
      <c r="F6" s="6"/>
      <c r="G6" s="6"/>
      <c r="H6" s="6"/>
      <c r="I6" s="6"/>
      <c r="J6" s="6"/>
      <c r="Q6" s="4">
        <f>184351284+303600000</f>
        <v>487951284</v>
      </c>
      <c r="R6" s="7"/>
    </row>
    <row r="7" spans="2:24" ht="14.25" customHeight="1" x14ac:dyDescent="0.2">
      <c r="B7" s="668" t="s">
        <v>2</v>
      </c>
      <c r="C7" s="668"/>
      <c r="D7" s="8"/>
      <c r="E7" s="8"/>
      <c r="F7" s="8"/>
      <c r="G7" s="5"/>
      <c r="H7" s="5"/>
      <c r="I7" s="5"/>
      <c r="J7" s="5"/>
    </row>
    <row r="8" spans="2:24" ht="14.25" customHeight="1" x14ac:dyDescent="0.25">
      <c r="B8" s="669" t="s">
        <v>3</v>
      </c>
      <c r="C8" s="669"/>
      <c r="D8" s="669"/>
      <c r="E8" s="669"/>
      <c r="F8" s="669"/>
      <c r="P8" s="9">
        <v>2587067298</v>
      </c>
    </row>
    <row r="9" spans="2:24" ht="14.25" customHeight="1" x14ac:dyDescent="0.2">
      <c r="F9" s="11"/>
      <c r="P9" s="12"/>
      <c r="Q9" s="13"/>
    </row>
    <row r="10" spans="2:24" ht="24.75" customHeight="1" x14ac:dyDescent="0.2">
      <c r="B10" s="14" t="s">
        <v>4</v>
      </c>
      <c r="C10" s="14" t="s">
        <v>5</v>
      </c>
      <c r="D10" s="14" t="s">
        <v>6</v>
      </c>
      <c r="E10" s="15" t="s">
        <v>7</v>
      </c>
      <c r="F10" s="15" t="s">
        <v>8</v>
      </c>
    </row>
    <row r="11" spans="2:24" ht="6.75" customHeight="1" x14ac:dyDescent="0.2">
      <c r="B11" s="16"/>
      <c r="C11" s="16"/>
      <c r="D11" s="17"/>
      <c r="E11" s="18"/>
      <c r="F11" s="18"/>
    </row>
    <row r="12" spans="2:24" ht="3.75" customHeight="1" x14ac:dyDescent="0.2">
      <c r="B12" s="19"/>
      <c r="C12" s="20"/>
      <c r="D12" s="19"/>
      <c r="E12" s="19"/>
      <c r="F12" s="19"/>
    </row>
    <row r="13" spans="2:24" s="25" customFormat="1" ht="14.25" customHeight="1" x14ac:dyDescent="0.2">
      <c r="B13" s="21" t="s">
        <v>9</v>
      </c>
      <c r="C13" s="22" t="s">
        <v>817</v>
      </c>
      <c r="D13" s="23">
        <f>D15+D35+D65+D130</f>
        <v>200441372</v>
      </c>
      <c r="E13" s="23">
        <f>E15+E35+E65+E130</f>
        <v>281224804</v>
      </c>
      <c r="F13" s="23">
        <f>+F15+F35+F65+F130</f>
        <v>481666176</v>
      </c>
      <c r="G13" s="4"/>
      <c r="H13" s="1"/>
      <c r="I13" s="1"/>
      <c r="J13" s="1"/>
      <c r="K13" s="1"/>
      <c r="L13" s="1"/>
      <c r="M13" s="2" t="s">
        <v>10</v>
      </c>
      <c r="N13" s="1"/>
      <c r="O13" s="1"/>
      <c r="P13" s="24"/>
      <c r="Q13" s="4"/>
      <c r="R13" s="4"/>
      <c r="S13" s="4"/>
      <c r="T13" s="4"/>
      <c r="U13" s="4"/>
      <c r="V13" s="4"/>
      <c r="W13" s="4"/>
      <c r="X13" s="4"/>
    </row>
    <row r="14" spans="2:24" s="32" customFormat="1" ht="9.75" customHeight="1" x14ac:dyDescent="0.2">
      <c r="B14" s="26"/>
      <c r="C14" s="27"/>
      <c r="D14" s="28"/>
      <c r="E14" s="28"/>
      <c r="F14" s="29"/>
      <c r="G14" s="1"/>
      <c r="H14" s="1"/>
      <c r="I14" s="1"/>
      <c r="J14" s="1"/>
      <c r="K14" s="1"/>
      <c r="L14" s="30"/>
      <c r="M14" s="2" t="e">
        <v>#N/A</v>
      </c>
      <c r="N14" s="1"/>
      <c r="O14" s="1" t="s">
        <v>11</v>
      </c>
      <c r="P14" s="2"/>
      <c r="Q14" s="31"/>
      <c r="R14" s="1"/>
      <c r="S14" s="1"/>
      <c r="T14" s="1"/>
      <c r="U14" s="1"/>
      <c r="V14" s="1"/>
      <c r="W14" s="1"/>
      <c r="X14" s="1"/>
    </row>
    <row r="15" spans="2:24" s="43" customFormat="1" ht="14.25" customHeight="1" x14ac:dyDescent="0.2">
      <c r="B15" s="33" t="s">
        <v>12</v>
      </c>
      <c r="C15" s="34" t="s">
        <v>13</v>
      </c>
      <c r="D15" s="35">
        <f>D16+D20+D33</f>
        <v>18375000</v>
      </c>
      <c r="E15" s="35">
        <f>E16+E20+E33</f>
        <v>0</v>
      </c>
      <c r="F15" s="35">
        <f>F16+F20+F33</f>
        <v>18375000</v>
      </c>
      <c r="G15" s="36"/>
      <c r="H15" s="37" t="s">
        <v>14</v>
      </c>
      <c r="I15" s="38"/>
      <c r="J15" s="39"/>
      <c r="K15" s="39"/>
      <c r="L15" s="40" t="s">
        <v>15</v>
      </c>
      <c r="M15" s="41">
        <v>0</v>
      </c>
      <c r="N15" s="42" t="s">
        <v>16</v>
      </c>
      <c r="O15" s="41">
        <v>0</v>
      </c>
      <c r="P15" s="36"/>
      <c r="Q15" s="36"/>
      <c r="R15" s="36"/>
      <c r="S15" s="36"/>
      <c r="T15" s="36"/>
      <c r="U15" s="36"/>
      <c r="V15" s="36"/>
    </row>
    <row r="16" spans="2:24" s="36" customFormat="1" ht="14.25" customHeight="1" x14ac:dyDescent="0.2">
      <c r="B16" s="44" t="s">
        <v>17</v>
      </c>
      <c r="C16" s="45" t="s">
        <v>18</v>
      </c>
      <c r="D16" s="46">
        <f>+D17</f>
        <v>15000000</v>
      </c>
      <c r="E16" s="46">
        <f>SUM(E17)</f>
        <v>0</v>
      </c>
      <c r="F16" s="47">
        <f t="shared" ref="F16:F79" si="0">D16+E16</f>
        <v>15000000</v>
      </c>
      <c r="H16" s="48" t="s">
        <v>14</v>
      </c>
      <c r="I16" s="49" t="s">
        <v>18</v>
      </c>
      <c r="J16" s="39" t="s">
        <v>19</v>
      </c>
      <c r="K16" s="39"/>
      <c r="L16" s="42" t="s">
        <v>20</v>
      </c>
      <c r="M16" s="41">
        <v>0</v>
      </c>
      <c r="N16" s="42" t="s">
        <v>21</v>
      </c>
      <c r="O16" s="41">
        <v>0</v>
      </c>
    </row>
    <row r="17" spans="2:30" s="36" customFormat="1" ht="14.25" customHeight="1" x14ac:dyDescent="0.2">
      <c r="B17" s="44" t="s">
        <v>22</v>
      </c>
      <c r="C17" s="45" t="s">
        <v>1050</v>
      </c>
      <c r="D17" s="46">
        <f>+D18</f>
        <v>15000000</v>
      </c>
      <c r="E17" s="46">
        <f>SUM(E18:E19)</f>
        <v>0</v>
      </c>
      <c r="F17" s="47">
        <f t="shared" si="0"/>
        <v>15000000</v>
      </c>
      <c r="H17" s="48" t="s">
        <v>14</v>
      </c>
      <c r="I17" s="49" t="s">
        <v>18</v>
      </c>
      <c r="J17" s="39"/>
      <c r="K17" s="39"/>
      <c r="L17" s="42" t="s">
        <v>23</v>
      </c>
      <c r="M17" s="41">
        <v>0</v>
      </c>
      <c r="N17" s="42" t="s">
        <v>24</v>
      </c>
      <c r="O17" s="41">
        <v>0</v>
      </c>
    </row>
    <row r="18" spans="2:30" ht="12.75" x14ac:dyDescent="0.2">
      <c r="B18" s="50" t="s">
        <v>25</v>
      </c>
      <c r="C18" s="51" t="s">
        <v>1051</v>
      </c>
      <c r="D18" s="52">
        <v>15000000</v>
      </c>
      <c r="E18" s="53"/>
      <c r="F18" s="54">
        <f t="shared" si="0"/>
        <v>15000000</v>
      </c>
      <c r="H18" s="55" t="s">
        <v>14</v>
      </c>
      <c r="I18" s="56" t="s">
        <v>18</v>
      </c>
      <c r="L18" s="57" t="s">
        <v>26</v>
      </c>
      <c r="M18" s="2">
        <v>0</v>
      </c>
      <c r="N18" s="57" t="s">
        <v>27</v>
      </c>
      <c r="O18" s="2">
        <v>0</v>
      </c>
      <c r="P18" s="4"/>
    </row>
    <row r="19" spans="2:30" ht="12.75" x14ac:dyDescent="0.2">
      <c r="B19" s="58" t="s">
        <v>28</v>
      </c>
      <c r="C19" s="59" t="s">
        <v>1052</v>
      </c>
      <c r="D19" s="52">
        <v>0</v>
      </c>
      <c r="E19" s="52">
        <v>0</v>
      </c>
      <c r="F19" s="54">
        <f t="shared" si="0"/>
        <v>0</v>
      </c>
      <c r="H19" s="55" t="s">
        <v>14</v>
      </c>
      <c r="I19" s="56" t="s">
        <v>18</v>
      </c>
      <c r="L19" s="57" t="s">
        <v>29</v>
      </c>
      <c r="M19" s="2">
        <v>0</v>
      </c>
      <c r="N19" s="57" t="s">
        <v>30</v>
      </c>
      <c r="O19" s="2">
        <v>0</v>
      </c>
      <c r="P19" s="4"/>
    </row>
    <row r="20" spans="2:30" s="36" customFormat="1" ht="12.75" x14ac:dyDescent="0.2">
      <c r="B20" s="44" t="s">
        <v>31</v>
      </c>
      <c r="C20" s="45" t="s">
        <v>32</v>
      </c>
      <c r="D20" s="60">
        <f>D21+D24+D26+D27+D30+D32</f>
        <v>2875000</v>
      </c>
      <c r="E20" s="46">
        <f>E21+E24+E26+E27+E30+E32</f>
        <v>0</v>
      </c>
      <c r="F20" s="47">
        <f t="shared" si="0"/>
        <v>2875000</v>
      </c>
      <c r="H20" s="48" t="s">
        <v>14</v>
      </c>
      <c r="I20" s="61" t="s">
        <v>32</v>
      </c>
      <c r="J20" s="62"/>
      <c r="K20" s="39"/>
      <c r="L20" s="42" t="s">
        <v>33</v>
      </c>
      <c r="M20" s="41">
        <v>0</v>
      </c>
      <c r="N20" s="42" t="s">
        <v>34</v>
      </c>
      <c r="O20" s="41">
        <v>0</v>
      </c>
    </row>
    <row r="21" spans="2:30" s="36" customFormat="1" ht="14.25" customHeight="1" x14ac:dyDescent="0.2">
      <c r="B21" s="44" t="s">
        <v>35</v>
      </c>
      <c r="C21" s="45" t="s">
        <v>1053</v>
      </c>
      <c r="D21" s="46">
        <f>SUM(D22:D22)</f>
        <v>100000</v>
      </c>
      <c r="E21" s="46">
        <f>SUM(E22:E22)</f>
        <v>0</v>
      </c>
      <c r="F21" s="47">
        <f t="shared" si="0"/>
        <v>100000</v>
      </c>
      <c r="H21" s="48" t="s">
        <v>14</v>
      </c>
      <c r="I21" s="61" t="s">
        <v>32</v>
      </c>
      <c r="J21" s="39"/>
      <c r="K21" s="39"/>
      <c r="L21" s="42" t="s">
        <v>36</v>
      </c>
      <c r="M21" s="41">
        <v>0</v>
      </c>
      <c r="N21" s="42" t="s">
        <v>37</v>
      </c>
      <c r="O21" s="41">
        <v>0</v>
      </c>
    </row>
    <row r="22" spans="2:30" s="36" customFormat="1" ht="14.25" customHeight="1" x14ac:dyDescent="0.2">
      <c r="B22" s="44" t="s">
        <v>38</v>
      </c>
      <c r="C22" s="45" t="s">
        <v>1054</v>
      </c>
      <c r="D22" s="46">
        <f>D23</f>
        <v>100000</v>
      </c>
      <c r="E22" s="46">
        <f>E23</f>
        <v>0</v>
      </c>
      <c r="F22" s="47">
        <f t="shared" si="0"/>
        <v>100000</v>
      </c>
      <c r="H22" s="48" t="s">
        <v>14</v>
      </c>
      <c r="I22" s="61" t="s">
        <v>32</v>
      </c>
      <c r="J22" s="39"/>
      <c r="K22" s="39"/>
      <c r="L22" s="42" t="s">
        <v>39</v>
      </c>
      <c r="M22" s="41">
        <v>0</v>
      </c>
      <c r="N22" s="42" t="s">
        <v>40</v>
      </c>
      <c r="O22" s="41">
        <v>0</v>
      </c>
      <c r="P22" s="63"/>
      <c r="Q22" s="64">
        <f>+D13-128750000</f>
        <v>71691372</v>
      </c>
    </row>
    <row r="23" spans="2:30" ht="14.25" customHeight="1" x14ac:dyDescent="0.2">
      <c r="B23" s="58" t="s">
        <v>41</v>
      </c>
      <c r="C23" s="4" t="s">
        <v>1128</v>
      </c>
      <c r="D23" s="52">
        <v>100000</v>
      </c>
      <c r="E23" s="52"/>
      <c r="F23" s="54">
        <f t="shared" si="0"/>
        <v>100000</v>
      </c>
      <c r="H23" s="55" t="s">
        <v>14</v>
      </c>
      <c r="I23" s="65" t="s">
        <v>32</v>
      </c>
      <c r="L23" s="57" t="s">
        <v>42</v>
      </c>
      <c r="M23" s="2">
        <v>0</v>
      </c>
      <c r="N23" s="57" t="s">
        <v>43</v>
      </c>
      <c r="O23" s="2">
        <v>0</v>
      </c>
      <c r="P23" s="63"/>
      <c r="Q23" s="66"/>
      <c r="AD23" s="59" t="s">
        <v>1055</v>
      </c>
    </row>
    <row r="24" spans="2:30" s="39" customFormat="1" ht="14.25" customHeight="1" x14ac:dyDescent="0.2">
      <c r="B24" s="44" t="s">
        <v>44</v>
      </c>
      <c r="C24" s="67" t="s">
        <v>1056</v>
      </c>
      <c r="D24" s="46">
        <f>D25</f>
        <v>50000</v>
      </c>
      <c r="E24" s="46">
        <f>E25</f>
        <v>0</v>
      </c>
      <c r="F24" s="47">
        <f t="shared" si="0"/>
        <v>50000</v>
      </c>
      <c r="H24" s="48" t="s">
        <v>14</v>
      </c>
      <c r="I24" s="61" t="s">
        <v>32</v>
      </c>
      <c r="L24" s="42" t="s">
        <v>45</v>
      </c>
      <c r="M24" s="41">
        <v>0</v>
      </c>
      <c r="N24" s="42" t="s">
        <v>46</v>
      </c>
      <c r="O24" s="41">
        <v>0</v>
      </c>
      <c r="P24" s="41"/>
    </row>
    <row r="25" spans="2:30" s="1" customFormat="1" ht="14.25" customHeight="1" x14ac:dyDescent="0.2">
      <c r="B25" s="58" t="s">
        <v>47</v>
      </c>
      <c r="C25" s="68" t="s">
        <v>1057</v>
      </c>
      <c r="D25" s="52">
        <v>50000</v>
      </c>
      <c r="E25" s="52"/>
      <c r="F25" s="54">
        <f t="shared" si="0"/>
        <v>50000</v>
      </c>
      <c r="H25" s="55" t="s">
        <v>14</v>
      </c>
      <c r="I25" s="65" t="s">
        <v>32</v>
      </c>
      <c r="L25" s="57" t="s">
        <v>48</v>
      </c>
      <c r="M25" s="2">
        <v>0</v>
      </c>
      <c r="N25" s="57" t="s">
        <v>49</v>
      </c>
      <c r="O25" s="2">
        <v>0</v>
      </c>
      <c r="P25" s="2"/>
    </row>
    <row r="26" spans="2:30" s="39" customFormat="1" ht="14.25" customHeight="1" x14ac:dyDescent="0.2">
      <c r="B26" s="44" t="s">
        <v>50</v>
      </c>
      <c r="C26" s="67" t="s">
        <v>1058</v>
      </c>
      <c r="D26" s="52">
        <v>50000</v>
      </c>
      <c r="E26" s="52"/>
      <c r="F26" s="54">
        <f t="shared" si="0"/>
        <v>50000</v>
      </c>
      <c r="H26" s="48" t="s">
        <v>14</v>
      </c>
      <c r="I26" s="61" t="s">
        <v>32</v>
      </c>
      <c r="L26" s="42" t="s">
        <v>51</v>
      </c>
      <c r="M26" s="41">
        <v>0</v>
      </c>
      <c r="N26" s="42" t="s">
        <v>52</v>
      </c>
      <c r="O26" s="41">
        <v>0</v>
      </c>
      <c r="P26" s="41"/>
    </row>
    <row r="27" spans="2:30" s="39" customFormat="1" ht="14.25" customHeight="1" x14ac:dyDescent="0.2">
      <c r="B27" s="44" t="s">
        <v>53</v>
      </c>
      <c r="C27" s="67" t="s">
        <v>1059</v>
      </c>
      <c r="D27" s="52">
        <f>D28+D29</f>
        <v>275000</v>
      </c>
      <c r="E27" s="46">
        <f>E28+E29</f>
        <v>0</v>
      </c>
      <c r="F27" s="47">
        <f t="shared" si="0"/>
        <v>275000</v>
      </c>
      <c r="H27" s="48" t="s">
        <v>14</v>
      </c>
      <c r="I27" s="61" t="s">
        <v>32</v>
      </c>
      <c r="L27" s="42" t="s">
        <v>54</v>
      </c>
      <c r="M27" s="41">
        <v>0</v>
      </c>
      <c r="N27" s="42" t="s">
        <v>55</v>
      </c>
      <c r="O27" s="41">
        <v>0</v>
      </c>
      <c r="P27" s="41"/>
      <c r="U27" s="62"/>
    </row>
    <row r="28" spans="2:30" s="1" customFormat="1" ht="14.25" customHeight="1" x14ac:dyDescent="0.2">
      <c r="B28" s="58" t="s">
        <v>56</v>
      </c>
      <c r="C28" s="68" t="s">
        <v>1060</v>
      </c>
      <c r="D28" s="52">
        <v>0</v>
      </c>
      <c r="E28" s="52"/>
      <c r="F28" s="54">
        <f t="shared" si="0"/>
        <v>0</v>
      </c>
      <c r="H28" s="55" t="s">
        <v>14</v>
      </c>
      <c r="I28" s="65" t="s">
        <v>32</v>
      </c>
      <c r="L28" s="57" t="s">
        <v>57</v>
      </c>
      <c r="M28" s="2">
        <v>0</v>
      </c>
      <c r="N28" s="57" t="s">
        <v>58</v>
      </c>
      <c r="O28" s="2">
        <v>0</v>
      </c>
      <c r="P28" s="2"/>
    </row>
    <row r="29" spans="2:30" s="1" customFormat="1" ht="14.25" customHeight="1" x14ac:dyDescent="0.2">
      <c r="B29" s="58" t="s">
        <v>59</v>
      </c>
      <c r="C29" s="68" t="s">
        <v>1061</v>
      </c>
      <c r="D29" s="52">
        <v>275000</v>
      </c>
      <c r="E29" s="52"/>
      <c r="F29" s="54">
        <f t="shared" si="0"/>
        <v>275000</v>
      </c>
      <c r="H29" s="55" t="s">
        <v>14</v>
      </c>
      <c r="I29" s="65" t="s">
        <v>32</v>
      </c>
      <c r="L29" s="57" t="s">
        <v>60</v>
      </c>
      <c r="M29" s="2">
        <v>0</v>
      </c>
      <c r="N29" s="57" t="s">
        <v>61</v>
      </c>
      <c r="O29" s="2">
        <v>0</v>
      </c>
      <c r="P29" s="2"/>
    </row>
    <row r="30" spans="2:30" s="36" customFormat="1" ht="14.25" customHeight="1" x14ac:dyDescent="0.2">
      <c r="B30" s="44" t="s">
        <v>62</v>
      </c>
      <c r="C30" s="45" t="s">
        <v>1062</v>
      </c>
      <c r="D30" s="46">
        <f>SUM(D31:D31)</f>
        <v>2000000</v>
      </c>
      <c r="E30" s="46">
        <f>SUM(E31:E31)</f>
        <v>0</v>
      </c>
      <c r="F30" s="47">
        <f t="shared" si="0"/>
        <v>2000000</v>
      </c>
      <c r="H30" s="69" t="s">
        <v>14</v>
      </c>
      <c r="I30" s="49" t="s">
        <v>32</v>
      </c>
      <c r="J30" s="39"/>
      <c r="K30" s="39"/>
      <c r="L30" s="42" t="s">
        <v>63</v>
      </c>
      <c r="M30" s="41">
        <v>0</v>
      </c>
      <c r="N30" s="42" t="s">
        <v>64</v>
      </c>
      <c r="O30" s="41">
        <v>0</v>
      </c>
      <c r="P30" s="63"/>
    </row>
    <row r="31" spans="2:30" ht="12.75" x14ac:dyDescent="0.2">
      <c r="B31" s="58" t="s">
        <v>65</v>
      </c>
      <c r="C31" s="51" t="s">
        <v>1063</v>
      </c>
      <c r="D31" s="53">
        <v>2000000</v>
      </c>
      <c r="E31" s="53"/>
      <c r="F31" s="70">
        <f t="shared" si="0"/>
        <v>2000000</v>
      </c>
      <c r="H31" s="71" t="s">
        <v>14</v>
      </c>
      <c r="I31" s="56" t="s">
        <v>32</v>
      </c>
      <c r="L31" s="57" t="s">
        <v>66</v>
      </c>
      <c r="M31" s="2">
        <v>0</v>
      </c>
      <c r="N31" s="57" t="s">
        <v>67</v>
      </c>
      <c r="O31" s="2">
        <v>0</v>
      </c>
      <c r="P31" s="63"/>
    </row>
    <row r="32" spans="2:30" s="1" customFormat="1" ht="12.75" x14ac:dyDescent="0.2">
      <c r="B32" s="58" t="s">
        <v>68</v>
      </c>
      <c r="C32" s="68" t="s">
        <v>1064</v>
      </c>
      <c r="D32" s="52">
        <v>400000</v>
      </c>
      <c r="E32" s="52"/>
      <c r="F32" s="54">
        <f t="shared" si="0"/>
        <v>400000</v>
      </c>
      <c r="H32" s="71" t="s">
        <v>14</v>
      </c>
      <c r="I32" s="56" t="s">
        <v>32</v>
      </c>
      <c r="L32" s="57" t="s">
        <v>69</v>
      </c>
      <c r="M32" s="2">
        <v>0</v>
      </c>
      <c r="N32" s="57" t="s">
        <v>70</v>
      </c>
      <c r="O32" s="2">
        <v>0</v>
      </c>
      <c r="P32" s="2"/>
    </row>
    <row r="33" spans="2:24" s="39" customFormat="1" ht="12.75" x14ac:dyDescent="0.2">
      <c r="B33" s="44" t="s">
        <v>71</v>
      </c>
      <c r="C33" s="67" t="s">
        <v>72</v>
      </c>
      <c r="D33" s="46">
        <f>+D34</f>
        <v>500000</v>
      </c>
      <c r="E33" s="46">
        <f>+E34</f>
        <v>0</v>
      </c>
      <c r="F33" s="47">
        <f>+D33+E33</f>
        <v>500000</v>
      </c>
      <c r="H33" s="69"/>
      <c r="I33" s="49"/>
      <c r="L33" s="42"/>
      <c r="M33" s="41"/>
      <c r="N33" s="42"/>
      <c r="O33" s="41"/>
      <c r="P33" s="41"/>
    </row>
    <row r="34" spans="2:24" s="1" customFormat="1" ht="12.75" x14ac:dyDescent="0.2">
      <c r="B34" s="58" t="s">
        <v>73</v>
      </c>
      <c r="C34" s="68" t="s">
        <v>74</v>
      </c>
      <c r="D34" s="52">
        <v>500000</v>
      </c>
      <c r="E34" s="52">
        <v>0</v>
      </c>
      <c r="F34" s="54">
        <f>+D34+E34</f>
        <v>500000</v>
      </c>
      <c r="H34" s="71"/>
      <c r="I34" s="56"/>
      <c r="L34" s="57"/>
      <c r="M34" s="2"/>
      <c r="N34" s="57"/>
      <c r="O34" s="2"/>
      <c r="P34" s="2"/>
    </row>
    <row r="35" spans="2:24" s="43" customFormat="1" ht="14.25" customHeight="1" x14ac:dyDescent="0.2">
      <c r="B35" s="33" t="s">
        <v>75</v>
      </c>
      <c r="C35" s="34" t="s">
        <v>76</v>
      </c>
      <c r="D35" s="35">
        <f>D36+D47+D58</f>
        <v>146825108</v>
      </c>
      <c r="E35" s="35">
        <f>E36+E47+E58</f>
        <v>173200000</v>
      </c>
      <c r="F35" s="35">
        <f t="shared" si="0"/>
        <v>320025108</v>
      </c>
      <c r="G35" s="36"/>
      <c r="H35" s="48" t="s">
        <v>76</v>
      </c>
      <c r="I35" s="61"/>
      <c r="J35" s="39"/>
      <c r="K35" s="39"/>
      <c r="L35" s="42" t="s">
        <v>77</v>
      </c>
      <c r="M35" s="41">
        <v>0</v>
      </c>
      <c r="N35" s="42" t="s">
        <v>78</v>
      </c>
      <c r="O35" s="41">
        <v>0</v>
      </c>
      <c r="P35" s="63"/>
      <c r="Q35" s="36"/>
      <c r="R35" s="36"/>
      <c r="S35" s="36"/>
      <c r="T35" s="36"/>
      <c r="U35" s="36"/>
      <c r="V35" s="36"/>
      <c r="W35" s="36"/>
      <c r="X35" s="36"/>
    </row>
    <row r="36" spans="2:24" s="36" customFormat="1" ht="14.25" customHeight="1" x14ac:dyDescent="0.2">
      <c r="B36" s="44" t="s">
        <v>79</v>
      </c>
      <c r="C36" s="45" t="s">
        <v>80</v>
      </c>
      <c r="D36" s="46">
        <f>D37+D42</f>
        <v>0</v>
      </c>
      <c r="E36" s="46">
        <f>E37+E42</f>
        <v>0</v>
      </c>
      <c r="F36" s="47">
        <f t="shared" si="0"/>
        <v>0</v>
      </c>
      <c r="H36" s="48" t="s">
        <v>76</v>
      </c>
      <c r="I36" s="61" t="s">
        <v>80</v>
      </c>
      <c r="J36" s="39"/>
      <c r="K36" s="39"/>
      <c r="L36" s="42" t="s">
        <v>81</v>
      </c>
      <c r="M36" s="41">
        <v>0</v>
      </c>
      <c r="N36" s="42" t="s">
        <v>82</v>
      </c>
      <c r="O36" s="41">
        <v>0</v>
      </c>
      <c r="P36" s="63"/>
    </row>
    <row r="37" spans="2:24" s="39" customFormat="1" ht="14.25" customHeight="1" x14ac:dyDescent="0.2">
      <c r="B37" s="44" t="s">
        <v>83</v>
      </c>
      <c r="C37" s="67" t="s">
        <v>580</v>
      </c>
      <c r="D37" s="46">
        <f>SUM(D38:D41)</f>
        <v>0</v>
      </c>
      <c r="E37" s="46">
        <f>SUM(E38:E41)</f>
        <v>0</v>
      </c>
      <c r="F37" s="47">
        <f t="shared" si="0"/>
        <v>0</v>
      </c>
      <c r="H37" s="48" t="s">
        <v>76</v>
      </c>
      <c r="I37" s="61" t="s">
        <v>80</v>
      </c>
      <c r="L37" s="42" t="s">
        <v>84</v>
      </c>
      <c r="M37" s="41">
        <v>0</v>
      </c>
      <c r="N37" s="42" t="s">
        <v>85</v>
      </c>
      <c r="O37" s="41">
        <v>0</v>
      </c>
      <c r="P37" s="41"/>
    </row>
    <row r="38" spans="2:24" s="1" customFormat="1" ht="14.25" customHeight="1" x14ac:dyDescent="0.2">
      <c r="B38" s="58" t="s">
        <v>86</v>
      </c>
      <c r="C38" s="68" t="s">
        <v>1065</v>
      </c>
      <c r="D38" s="52"/>
      <c r="E38" s="52"/>
      <c r="F38" s="47">
        <f t="shared" si="0"/>
        <v>0</v>
      </c>
      <c r="H38" s="55" t="s">
        <v>76</v>
      </c>
      <c r="I38" s="65" t="s">
        <v>80</v>
      </c>
      <c r="L38" s="57" t="s">
        <v>87</v>
      </c>
      <c r="M38" s="2">
        <v>0</v>
      </c>
      <c r="N38" s="57" t="s">
        <v>88</v>
      </c>
      <c r="O38" s="2">
        <v>0</v>
      </c>
      <c r="P38" s="2"/>
      <c r="Q38" s="31"/>
    </row>
    <row r="39" spans="2:24" s="1" customFormat="1" ht="14.25" customHeight="1" x14ac:dyDescent="0.2">
      <c r="B39" s="58" t="s">
        <v>89</v>
      </c>
      <c r="C39" s="68" t="s">
        <v>1066</v>
      </c>
      <c r="D39" s="52"/>
      <c r="E39" s="52"/>
      <c r="F39" s="47">
        <f t="shared" si="0"/>
        <v>0</v>
      </c>
      <c r="H39" s="55" t="s">
        <v>76</v>
      </c>
      <c r="I39" s="65" t="s">
        <v>80</v>
      </c>
      <c r="L39" s="57" t="s">
        <v>90</v>
      </c>
      <c r="M39" s="2">
        <v>0</v>
      </c>
      <c r="N39" s="57" t="s">
        <v>91</v>
      </c>
      <c r="O39" s="2">
        <v>0</v>
      </c>
      <c r="P39" s="2"/>
    </row>
    <row r="40" spans="2:24" s="1" customFormat="1" ht="14.25" customHeight="1" x14ac:dyDescent="0.2">
      <c r="B40" s="58" t="s">
        <v>92</v>
      </c>
      <c r="C40" s="68" t="s">
        <v>1067</v>
      </c>
      <c r="D40" s="52"/>
      <c r="E40" s="52"/>
      <c r="F40" s="47">
        <f t="shared" si="0"/>
        <v>0</v>
      </c>
      <c r="H40" s="55" t="s">
        <v>76</v>
      </c>
      <c r="I40" s="65" t="s">
        <v>80</v>
      </c>
      <c r="L40" s="57" t="s">
        <v>93</v>
      </c>
      <c r="M40" s="2">
        <v>0</v>
      </c>
      <c r="N40" s="57" t="s">
        <v>94</v>
      </c>
      <c r="O40" s="2">
        <v>0</v>
      </c>
      <c r="P40" s="2"/>
      <c r="Q40" s="31">
        <f>F40+E60</f>
        <v>0</v>
      </c>
    </row>
    <row r="41" spans="2:24" s="1" customFormat="1" ht="14.25" customHeight="1" x14ac:dyDescent="0.2">
      <c r="B41" s="58" t="s">
        <v>95</v>
      </c>
      <c r="C41" s="68" t="s">
        <v>1068</v>
      </c>
      <c r="D41" s="52"/>
      <c r="E41" s="52"/>
      <c r="F41" s="47">
        <f t="shared" si="0"/>
        <v>0</v>
      </c>
      <c r="H41" s="55" t="s">
        <v>76</v>
      </c>
      <c r="I41" s="65" t="s">
        <v>80</v>
      </c>
      <c r="L41" s="57" t="s">
        <v>96</v>
      </c>
      <c r="M41" s="2">
        <v>0</v>
      </c>
      <c r="N41" s="57" t="s">
        <v>97</v>
      </c>
      <c r="O41" s="2">
        <v>0</v>
      </c>
      <c r="P41" s="2"/>
    </row>
    <row r="42" spans="2:24" s="36" customFormat="1" ht="14.25" customHeight="1" x14ac:dyDescent="0.2">
      <c r="B42" s="44" t="s">
        <v>98</v>
      </c>
      <c r="C42" s="45" t="s">
        <v>1069</v>
      </c>
      <c r="D42" s="46">
        <f>SUM(D43:D46)</f>
        <v>0</v>
      </c>
      <c r="E42" s="46">
        <f>SUM(E43:E46)</f>
        <v>0</v>
      </c>
      <c r="F42" s="47">
        <f t="shared" si="0"/>
        <v>0</v>
      </c>
      <c r="H42" s="48" t="s">
        <v>76</v>
      </c>
      <c r="I42" s="61" t="s">
        <v>80</v>
      </c>
      <c r="J42" s="39"/>
      <c r="K42" s="39"/>
      <c r="L42" s="42" t="s">
        <v>99</v>
      </c>
      <c r="M42" s="41">
        <v>0</v>
      </c>
      <c r="N42" s="42" t="s">
        <v>100</v>
      </c>
      <c r="O42" s="41">
        <v>0</v>
      </c>
      <c r="P42" s="63"/>
    </row>
    <row r="43" spans="2:24" s="1" customFormat="1" ht="14.25" customHeight="1" x14ac:dyDescent="0.2">
      <c r="B43" s="58" t="s">
        <v>101</v>
      </c>
      <c r="C43" s="68" t="s">
        <v>1065</v>
      </c>
      <c r="D43" s="52"/>
      <c r="E43" s="52"/>
      <c r="F43" s="47">
        <f t="shared" si="0"/>
        <v>0</v>
      </c>
      <c r="H43" s="55" t="s">
        <v>76</v>
      </c>
      <c r="I43" s="65" t="s">
        <v>80</v>
      </c>
      <c r="L43" s="57" t="s">
        <v>102</v>
      </c>
      <c r="M43" s="2">
        <v>0</v>
      </c>
      <c r="N43" s="57" t="s">
        <v>103</v>
      </c>
      <c r="O43" s="2">
        <v>0</v>
      </c>
      <c r="P43" s="2"/>
    </row>
    <row r="44" spans="2:24" s="1" customFormat="1" ht="14.25" customHeight="1" x14ac:dyDescent="0.2">
      <c r="B44" s="58" t="s">
        <v>104</v>
      </c>
      <c r="C44" s="68" t="s">
        <v>1066</v>
      </c>
      <c r="D44" s="52"/>
      <c r="E44" s="52"/>
      <c r="F44" s="47">
        <f t="shared" si="0"/>
        <v>0</v>
      </c>
      <c r="H44" s="55" t="s">
        <v>76</v>
      </c>
      <c r="I44" s="65" t="s">
        <v>80</v>
      </c>
      <c r="L44" s="57" t="s">
        <v>105</v>
      </c>
      <c r="M44" s="2">
        <v>0</v>
      </c>
      <c r="N44" s="57" t="s">
        <v>106</v>
      </c>
      <c r="O44" s="2">
        <v>0</v>
      </c>
      <c r="P44" s="2"/>
    </row>
    <row r="45" spans="2:24" ht="14.25" customHeight="1" x14ac:dyDescent="0.2">
      <c r="B45" s="50" t="s">
        <v>107</v>
      </c>
      <c r="C45" s="51" t="s">
        <v>1067</v>
      </c>
      <c r="D45" s="53"/>
      <c r="E45" s="53"/>
      <c r="F45" s="47">
        <f t="shared" si="0"/>
        <v>0</v>
      </c>
      <c r="H45" s="55" t="s">
        <v>76</v>
      </c>
      <c r="I45" s="65" t="s">
        <v>80</v>
      </c>
      <c r="L45" s="57" t="s">
        <v>108</v>
      </c>
      <c r="M45" s="2">
        <v>0</v>
      </c>
      <c r="N45" s="57" t="s">
        <v>109</v>
      </c>
      <c r="O45" s="2">
        <v>0</v>
      </c>
      <c r="P45" s="63"/>
    </row>
    <row r="46" spans="2:24" s="1" customFormat="1" ht="14.25" customHeight="1" x14ac:dyDescent="0.2">
      <c r="B46" s="58" t="s">
        <v>110</v>
      </c>
      <c r="C46" s="68" t="s">
        <v>1068</v>
      </c>
      <c r="D46" s="52"/>
      <c r="E46" s="52"/>
      <c r="F46" s="47">
        <f t="shared" si="0"/>
        <v>0</v>
      </c>
      <c r="H46" s="55" t="s">
        <v>76</v>
      </c>
      <c r="I46" s="65" t="s">
        <v>80</v>
      </c>
      <c r="L46" s="57" t="s">
        <v>111</v>
      </c>
      <c r="M46" s="2">
        <v>0</v>
      </c>
      <c r="N46" s="57" t="s">
        <v>112</v>
      </c>
      <c r="O46" s="2">
        <v>0</v>
      </c>
      <c r="P46" s="2"/>
    </row>
    <row r="47" spans="2:24" s="39" customFormat="1" ht="14.25" customHeight="1" x14ac:dyDescent="0.2">
      <c r="B47" s="44" t="s">
        <v>113</v>
      </c>
      <c r="C47" s="67" t="s">
        <v>114</v>
      </c>
      <c r="D47" s="46">
        <f>D48+D53</f>
        <v>0</v>
      </c>
      <c r="E47" s="46">
        <f>E48+E53</f>
        <v>17000000</v>
      </c>
      <c r="F47" s="47">
        <f t="shared" si="0"/>
        <v>17000000</v>
      </c>
      <c r="H47" s="48" t="s">
        <v>76</v>
      </c>
      <c r="I47" s="61" t="s">
        <v>114</v>
      </c>
      <c r="L47" s="42" t="s">
        <v>115</v>
      </c>
      <c r="M47" s="41">
        <v>0</v>
      </c>
      <c r="N47" s="42" t="s">
        <v>116</v>
      </c>
      <c r="O47" s="41">
        <v>0</v>
      </c>
      <c r="P47" s="41"/>
    </row>
    <row r="48" spans="2:24" s="39" customFormat="1" ht="14.25" customHeight="1" x14ac:dyDescent="0.2">
      <c r="B48" s="44" t="s">
        <v>117</v>
      </c>
      <c r="C48" s="67" t="s">
        <v>580</v>
      </c>
      <c r="D48" s="46">
        <f>SUM(D49:D52)</f>
        <v>0</v>
      </c>
      <c r="E48" s="46">
        <f>SUM(E49:E52)</f>
        <v>0</v>
      </c>
      <c r="F48" s="47">
        <f t="shared" si="0"/>
        <v>0</v>
      </c>
      <c r="H48" s="48" t="s">
        <v>76</v>
      </c>
      <c r="I48" s="61" t="s">
        <v>114</v>
      </c>
      <c r="L48" s="42" t="s">
        <v>118</v>
      </c>
      <c r="M48" s="41">
        <v>0</v>
      </c>
      <c r="N48" s="42" t="s">
        <v>119</v>
      </c>
      <c r="O48" s="41">
        <v>0</v>
      </c>
      <c r="P48" s="41"/>
    </row>
    <row r="49" spans="2:20" s="1" customFormat="1" ht="14.25" customHeight="1" x14ac:dyDescent="0.2">
      <c r="B49" s="58" t="s">
        <v>120</v>
      </c>
      <c r="C49" s="68" t="s">
        <v>1065</v>
      </c>
      <c r="D49" s="52"/>
      <c r="E49" s="52"/>
      <c r="F49" s="47">
        <f t="shared" si="0"/>
        <v>0</v>
      </c>
      <c r="H49" s="55" t="s">
        <v>76</v>
      </c>
      <c r="I49" s="65" t="s">
        <v>114</v>
      </c>
      <c r="L49" s="57" t="s">
        <v>121</v>
      </c>
      <c r="M49" s="2">
        <v>0</v>
      </c>
      <c r="N49" s="57" t="s">
        <v>122</v>
      </c>
      <c r="O49" s="2">
        <v>0</v>
      </c>
      <c r="P49" s="2"/>
    </row>
    <row r="50" spans="2:20" s="1" customFormat="1" ht="14.25" customHeight="1" x14ac:dyDescent="0.2">
      <c r="B50" s="58" t="s">
        <v>123</v>
      </c>
      <c r="C50" s="68" t="s">
        <v>1066</v>
      </c>
      <c r="D50" s="52"/>
      <c r="E50" s="52"/>
      <c r="F50" s="47">
        <f t="shared" si="0"/>
        <v>0</v>
      </c>
      <c r="H50" s="55" t="s">
        <v>76</v>
      </c>
      <c r="I50" s="65" t="s">
        <v>114</v>
      </c>
      <c r="L50" s="57" t="s">
        <v>124</v>
      </c>
      <c r="M50" s="2">
        <v>0</v>
      </c>
      <c r="N50" s="57" t="s">
        <v>125</v>
      </c>
      <c r="O50" s="2">
        <v>0</v>
      </c>
      <c r="P50" s="2"/>
    </row>
    <row r="51" spans="2:20" s="1" customFormat="1" ht="14.25" customHeight="1" x14ac:dyDescent="0.2">
      <c r="B51" s="58" t="s">
        <v>126</v>
      </c>
      <c r="C51" s="68" t="s">
        <v>1067</v>
      </c>
      <c r="D51" s="52"/>
      <c r="E51" s="52"/>
      <c r="F51" s="47">
        <f t="shared" si="0"/>
        <v>0</v>
      </c>
      <c r="H51" s="55" t="s">
        <v>76</v>
      </c>
      <c r="I51" s="65" t="s">
        <v>114</v>
      </c>
      <c r="L51" s="57" t="s">
        <v>127</v>
      </c>
      <c r="M51" s="2">
        <v>0</v>
      </c>
      <c r="N51" s="57" t="s">
        <v>128</v>
      </c>
      <c r="O51" s="2">
        <v>0</v>
      </c>
      <c r="P51" s="2"/>
    </row>
    <row r="52" spans="2:20" s="1" customFormat="1" ht="14.25" customHeight="1" x14ac:dyDescent="0.2">
      <c r="B52" s="58" t="s">
        <v>129</v>
      </c>
      <c r="C52" s="68" t="s">
        <v>1068</v>
      </c>
      <c r="D52" s="52"/>
      <c r="E52" s="52"/>
      <c r="F52" s="47">
        <f t="shared" si="0"/>
        <v>0</v>
      </c>
      <c r="H52" s="55" t="s">
        <v>76</v>
      </c>
      <c r="I52" s="65" t="s">
        <v>114</v>
      </c>
      <c r="L52" s="57" t="s">
        <v>130</v>
      </c>
      <c r="M52" s="2">
        <v>0</v>
      </c>
      <c r="N52" s="57" t="s">
        <v>131</v>
      </c>
      <c r="O52" s="2">
        <v>0</v>
      </c>
      <c r="P52" s="2"/>
    </row>
    <row r="53" spans="2:20" s="39" customFormat="1" ht="14.25" customHeight="1" x14ac:dyDescent="0.2">
      <c r="B53" s="44" t="s">
        <v>132</v>
      </c>
      <c r="C53" s="67" t="s">
        <v>1069</v>
      </c>
      <c r="D53" s="46">
        <f>SUM(D54:D57)</f>
        <v>0</v>
      </c>
      <c r="E53" s="46">
        <f>SUM(E54:E57)</f>
        <v>17000000</v>
      </c>
      <c r="F53" s="47">
        <f t="shared" si="0"/>
        <v>17000000</v>
      </c>
      <c r="H53" s="48" t="s">
        <v>76</v>
      </c>
      <c r="I53" s="61" t="s">
        <v>114</v>
      </c>
      <c r="L53" s="42" t="s">
        <v>133</v>
      </c>
      <c r="M53" s="41">
        <v>0</v>
      </c>
      <c r="N53" s="42" t="s">
        <v>134</v>
      </c>
      <c r="O53" s="41">
        <v>0</v>
      </c>
      <c r="P53" s="41"/>
    </row>
    <row r="54" spans="2:20" s="1" customFormat="1" ht="14.25" customHeight="1" x14ac:dyDescent="0.2">
      <c r="B54" s="58" t="s">
        <v>135</v>
      </c>
      <c r="C54" s="68" t="s">
        <v>1065</v>
      </c>
      <c r="D54" s="52"/>
      <c r="E54" s="53"/>
      <c r="F54" s="54">
        <f t="shared" si="0"/>
        <v>0</v>
      </c>
      <c r="H54" s="55" t="s">
        <v>76</v>
      </c>
      <c r="I54" s="65" t="s">
        <v>114</v>
      </c>
      <c r="L54" s="57" t="s">
        <v>136</v>
      </c>
      <c r="M54" s="2">
        <v>0</v>
      </c>
      <c r="N54" s="57" t="s">
        <v>137</v>
      </c>
      <c r="O54" s="2">
        <v>0</v>
      </c>
      <c r="P54" s="2"/>
    </row>
    <row r="55" spans="2:20" s="1" customFormat="1" ht="14.25" customHeight="1" x14ac:dyDescent="0.2">
      <c r="B55" s="58" t="s">
        <v>138</v>
      </c>
      <c r="C55" s="68" t="s">
        <v>1066</v>
      </c>
      <c r="D55" s="52"/>
      <c r="E55" s="53"/>
      <c r="F55" s="54">
        <f t="shared" si="0"/>
        <v>0</v>
      </c>
      <c r="H55" s="55" t="s">
        <v>76</v>
      </c>
      <c r="I55" s="65" t="s">
        <v>114</v>
      </c>
      <c r="L55" s="57" t="s">
        <v>139</v>
      </c>
      <c r="M55" s="2">
        <v>0</v>
      </c>
      <c r="N55" s="57" t="s">
        <v>140</v>
      </c>
      <c r="O55" s="2">
        <v>0</v>
      </c>
      <c r="P55" s="2"/>
    </row>
    <row r="56" spans="2:20" s="1" customFormat="1" ht="14.25" customHeight="1" x14ac:dyDescent="0.2">
      <c r="B56" s="58" t="s">
        <v>141</v>
      </c>
      <c r="C56" s="68" t="s">
        <v>1067</v>
      </c>
      <c r="D56" s="52"/>
      <c r="E56" s="53">
        <f>MapaX!G14</f>
        <v>17000000</v>
      </c>
      <c r="F56" s="54">
        <f t="shared" si="0"/>
        <v>17000000</v>
      </c>
      <c r="H56" s="55" t="s">
        <v>76</v>
      </c>
      <c r="I56" s="65" t="s">
        <v>114</v>
      </c>
      <c r="L56" s="57" t="s">
        <v>142</v>
      </c>
      <c r="M56" s="2">
        <v>0</v>
      </c>
      <c r="N56" s="57" t="s">
        <v>143</v>
      </c>
      <c r="O56" s="2">
        <v>0</v>
      </c>
      <c r="P56" s="2"/>
    </row>
    <row r="57" spans="2:20" s="1" customFormat="1" ht="14.25" customHeight="1" x14ac:dyDescent="0.2">
      <c r="B57" s="58" t="s">
        <v>144</v>
      </c>
      <c r="C57" s="68" t="s">
        <v>1068</v>
      </c>
      <c r="D57" s="52"/>
      <c r="E57" s="53"/>
      <c r="F57" s="54">
        <f t="shared" si="0"/>
        <v>0</v>
      </c>
      <c r="H57" s="55" t="s">
        <v>76</v>
      </c>
      <c r="I57" s="65" t="s">
        <v>114</v>
      </c>
      <c r="L57" s="57" t="s">
        <v>145</v>
      </c>
      <c r="M57" s="2">
        <v>0</v>
      </c>
      <c r="N57" s="57" t="s">
        <v>146</v>
      </c>
      <c r="O57" s="2">
        <v>0</v>
      </c>
      <c r="P57" s="2"/>
    </row>
    <row r="58" spans="2:20" s="36" customFormat="1" ht="14.25" customHeight="1" x14ac:dyDescent="0.2">
      <c r="B58" s="44" t="s">
        <v>147</v>
      </c>
      <c r="C58" s="45" t="s">
        <v>148</v>
      </c>
      <c r="D58" s="46">
        <f>D59+D62</f>
        <v>146825108</v>
      </c>
      <c r="E58" s="60">
        <f>E59+E62</f>
        <v>156200000</v>
      </c>
      <c r="F58" s="47">
        <f t="shared" si="0"/>
        <v>303025108</v>
      </c>
      <c r="H58" s="48" t="s">
        <v>76</v>
      </c>
      <c r="I58" s="61" t="s">
        <v>148</v>
      </c>
      <c r="J58" s="62"/>
      <c r="K58" s="39"/>
      <c r="L58" s="42" t="s">
        <v>149</v>
      </c>
      <c r="M58" s="41">
        <v>0</v>
      </c>
      <c r="N58" s="42" t="s">
        <v>150</v>
      </c>
      <c r="O58" s="41">
        <v>0</v>
      </c>
      <c r="P58" s="63"/>
    </row>
    <row r="59" spans="2:20" s="36" customFormat="1" ht="14.25" customHeight="1" x14ac:dyDescent="0.2">
      <c r="B59" s="44" t="s">
        <v>151</v>
      </c>
      <c r="C59" s="45" t="s">
        <v>580</v>
      </c>
      <c r="D59" s="46">
        <f>SUM(D60:D61)</f>
        <v>146825108</v>
      </c>
      <c r="E59" s="60">
        <f>SUM(E60:E61)</f>
        <v>0</v>
      </c>
      <c r="F59" s="47">
        <f t="shared" si="0"/>
        <v>146825108</v>
      </c>
      <c r="H59" s="48" t="s">
        <v>76</v>
      </c>
      <c r="I59" s="61" t="s">
        <v>148</v>
      </c>
      <c r="J59" s="39"/>
      <c r="K59" s="39"/>
      <c r="L59" s="42" t="s">
        <v>152</v>
      </c>
      <c r="M59" s="41">
        <v>0</v>
      </c>
      <c r="N59" s="42" t="s">
        <v>153</v>
      </c>
      <c r="O59" s="41">
        <v>0</v>
      </c>
      <c r="P59" s="63"/>
    </row>
    <row r="60" spans="2:20" ht="14.25" customHeight="1" x14ac:dyDescent="0.25">
      <c r="B60" s="58" t="s">
        <v>154</v>
      </c>
      <c r="C60" s="59" t="s">
        <v>1070</v>
      </c>
      <c r="D60" s="52">
        <v>146825108</v>
      </c>
      <c r="E60" s="53"/>
      <c r="F60" s="54">
        <f t="shared" si="0"/>
        <v>146825108</v>
      </c>
      <c r="H60" s="55" t="s">
        <v>76</v>
      </c>
      <c r="I60" s="65" t="s">
        <v>148</v>
      </c>
      <c r="L60" s="57" t="s">
        <v>155</v>
      </c>
      <c r="M60" s="2">
        <v>0</v>
      </c>
      <c r="N60" s="57" t="s">
        <v>156</v>
      </c>
      <c r="O60" s="2">
        <v>0</v>
      </c>
      <c r="P60" s="72">
        <f>+D60-12935426*12</f>
        <v>-8400004</v>
      </c>
    </row>
    <row r="61" spans="2:20" s="1" customFormat="1" ht="14.25" customHeight="1" x14ac:dyDescent="0.2">
      <c r="B61" s="58" t="s">
        <v>157</v>
      </c>
      <c r="C61" s="68" t="s">
        <v>1071</v>
      </c>
      <c r="D61" s="52"/>
      <c r="E61" s="53"/>
      <c r="F61" s="54">
        <f t="shared" si="0"/>
        <v>0</v>
      </c>
      <c r="H61" s="55" t="s">
        <v>76</v>
      </c>
      <c r="I61" s="65" t="s">
        <v>148</v>
      </c>
      <c r="L61" s="57" t="s">
        <v>158</v>
      </c>
      <c r="M61" s="2">
        <v>0</v>
      </c>
      <c r="N61" s="57" t="s">
        <v>159</v>
      </c>
      <c r="O61" s="2">
        <v>0</v>
      </c>
      <c r="P61" s="2">
        <f>+P60/12</f>
        <v>-700000.33333333337</v>
      </c>
      <c r="Q61" s="31"/>
      <c r="T61" s="1">
        <f>23230916/12</f>
        <v>1935909.6666666667</v>
      </c>
    </row>
    <row r="62" spans="2:20" s="36" customFormat="1" ht="14.25" customHeight="1" x14ac:dyDescent="0.2">
      <c r="B62" s="44" t="s">
        <v>160</v>
      </c>
      <c r="C62" s="45" t="s">
        <v>1069</v>
      </c>
      <c r="D62" s="46">
        <f>SUM(D63:D64)</f>
        <v>0</v>
      </c>
      <c r="E62" s="60">
        <f>SUM(E63:E64)</f>
        <v>156200000</v>
      </c>
      <c r="F62" s="47">
        <f t="shared" si="0"/>
        <v>156200000</v>
      </c>
      <c r="H62" s="48" t="s">
        <v>76</v>
      </c>
      <c r="I62" s="61" t="s">
        <v>148</v>
      </c>
      <c r="J62" s="39"/>
      <c r="K62" s="39"/>
      <c r="L62" s="42" t="s">
        <v>161</v>
      </c>
      <c r="M62" s="41">
        <v>0</v>
      </c>
      <c r="N62" s="42" t="s">
        <v>162</v>
      </c>
      <c r="O62" s="41">
        <v>0</v>
      </c>
      <c r="P62" s="73">
        <f>+D60-10000000</f>
        <v>136825108</v>
      </c>
    </row>
    <row r="63" spans="2:20" ht="14.25" customHeight="1" x14ac:dyDescent="0.25">
      <c r="B63" s="58" t="s">
        <v>163</v>
      </c>
      <c r="C63" s="59" t="s">
        <v>1070</v>
      </c>
      <c r="D63" s="52">
        <v>0</v>
      </c>
      <c r="E63" s="53">
        <f>MapaX!F14</f>
        <v>156200000</v>
      </c>
      <c r="F63" s="54">
        <f t="shared" si="0"/>
        <v>156200000</v>
      </c>
      <c r="H63" s="55" t="s">
        <v>76</v>
      </c>
      <c r="I63" s="65" t="s">
        <v>148</v>
      </c>
      <c r="L63" s="57" t="s">
        <v>164</v>
      </c>
      <c r="M63" s="2">
        <v>0</v>
      </c>
      <c r="N63" s="57" t="s">
        <v>165</v>
      </c>
      <c r="O63" s="2">
        <v>0</v>
      </c>
      <c r="P63" s="74">
        <v>694445</v>
      </c>
    </row>
    <row r="64" spans="2:20" ht="14.25" customHeight="1" x14ac:dyDescent="0.25">
      <c r="B64" s="58" t="s">
        <v>166</v>
      </c>
      <c r="C64" s="59" t="s">
        <v>1071</v>
      </c>
      <c r="D64" s="52"/>
      <c r="E64" s="52"/>
      <c r="F64" s="54">
        <f t="shared" si="0"/>
        <v>0</v>
      </c>
      <c r="H64" s="55" t="s">
        <v>76</v>
      </c>
      <c r="I64" s="65" t="s">
        <v>148</v>
      </c>
      <c r="L64" s="57" t="s">
        <v>167</v>
      </c>
      <c r="M64" s="2">
        <v>0</v>
      </c>
      <c r="N64" s="57" t="s">
        <v>168</v>
      </c>
      <c r="O64" s="2">
        <v>0</v>
      </c>
      <c r="P64" s="72">
        <f>+P63*12</f>
        <v>8333340</v>
      </c>
    </row>
    <row r="65" spans="2:24" s="43" customFormat="1" ht="14.25" customHeight="1" x14ac:dyDescent="0.2">
      <c r="B65" s="33" t="s">
        <v>169</v>
      </c>
      <c r="C65" s="34" t="s">
        <v>170</v>
      </c>
      <c r="D65" s="35">
        <f>D66+D80+D83+D114+D116+D118+D120+D125+D128</f>
        <v>35241264</v>
      </c>
      <c r="E65" s="35">
        <f>E66+E80+E120+E125+E128</f>
        <v>0</v>
      </c>
      <c r="F65" s="35">
        <f t="shared" si="0"/>
        <v>35241264</v>
      </c>
      <c r="G65" s="36"/>
      <c r="H65" s="48" t="s">
        <v>170</v>
      </c>
      <c r="I65" s="61"/>
      <c r="J65" s="39"/>
      <c r="K65" s="39"/>
      <c r="L65" s="42" t="s">
        <v>171</v>
      </c>
      <c r="M65" s="41">
        <v>0</v>
      </c>
      <c r="N65" s="42" t="s">
        <v>172</v>
      </c>
      <c r="O65" s="41">
        <v>0</v>
      </c>
      <c r="P65" s="63"/>
      <c r="Q65" s="36"/>
      <c r="R65" s="36"/>
      <c r="S65" s="36"/>
      <c r="T65" s="36"/>
      <c r="U65" s="36"/>
      <c r="V65" s="36"/>
      <c r="W65" s="36"/>
      <c r="X65" s="36"/>
    </row>
    <row r="66" spans="2:24" s="36" customFormat="1" ht="14.25" customHeight="1" x14ac:dyDescent="0.2">
      <c r="B66" s="44" t="s">
        <v>173</v>
      </c>
      <c r="C66" s="45" t="s">
        <v>174</v>
      </c>
      <c r="D66" s="46">
        <f>SUM(D67:D71)</f>
        <v>3500000</v>
      </c>
      <c r="E66" s="46">
        <f>SUM(E67:E71)</f>
        <v>0</v>
      </c>
      <c r="F66" s="47">
        <f t="shared" si="0"/>
        <v>3500000</v>
      </c>
      <c r="H66" s="48" t="s">
        <v>170</v>
      </c>
      <c r="I66" s="61" t="s">
        <v>174</v>
      </c>
      <c r="J66" s="39"/>
      <c r="K66" s="39"/>
      <c r="L66" s="42" t="s">
        <v>175</v>
      </c>
      <c r="M66" s="41">
        <v>0</v>
      </c>
      <c r="N66" s="42" t="s">
        <v>176</v>
      </c>
      <c r="O66" s="41">
        <v>0</v>
      </c>
      <c r="P66" s="63"/>
      <c r="T66" s="36">
        <f>123594192/12</f>
        <v>10299516</v>
      </c>
    </row>
    <row r="67" spans="2:24" ht="14.25" customHeight="1" x14ac:dyDescent="0.2">
      <c r="B67" s="58" t="s">
        <v>177</v>
      </c>
      <c r="C67" s="59" t="s">
        <v>1072</v>
      </c>
      <c r="D67" s="52"/>
      <c r="E67" s="52"/>
      <c r="F67" s="54">
        <f t="shared" si="0"/>
        <v>0</v>
      </c>
      <c r="H67" s="55" t="s">
        <v>170</v>
      </c>
      <c r="I67" s="65" t="s">
        <v>174</v>
      </c>
      <c r="L67" s="57" t="s">
        <v>178</v>
      </c>
      <c r="M67" s="2">
        <v>0</v>
      </c>
      <c r="N67" s="57" t="s">
        <v>179</v>
      </c>
      <c r="O67" s="2">
        <v>0</v>
      </c>
      <c r="P67" s="63"/>
    </row>
    <row r="68" spans="2:24" s="1" customFormat="1" ht="14.25" customHeight="1" x14ac:dyDescent="0.2">
      <c r="B68" s="58" t="s">
        <v>180</v>
      </c>
      <c r="C68" s="68" t="s">
        <v>1073</v>
      </c>
      <c r="D68" s="52"/>
      <c r="E68" s="52"/>
      <c r="F68" s="54">
        <f t="shared" si="0"/>
        <v>0</v>
      </c>
      <c r="H68" s="55" t="s">
        <v>170</v>
      </c>
      <c r="I68" s="65" t="s">
        <v>174</v>
      </c>
      <c r="L68" s="57" t="s">
        <v>181</v>
      </c>
      <c r="M68" s="2">
        <v>0</v>
      </c>
      <c r="N68" s="57" t="s">
        <v>182</v>
      </c>
      <c r="O68" s="2">
        <v>0</v>
      </c>
      <c r="P68" s="2"/>
    </row>
    <row r="69" spans="2:24" s="1" customFormat="1" ht="14.25" customHeight="1" x14ac:dyDescent="0.2">
      <c r="B69" s="58" t="s">
        <v>183</v>
      </c>
      <c r="C69" s="68" t="s">
        <v>1074</v>
      </c>
      <c r="D69" s="52"/>
      <c r="E69" s="52"/>
      <c r="F69" s="54">
        <f t="shared" si="0"/>
        <v>0</v>
      </c>
      <c r="H69" s="55" t="s">
        <v>170</v>
      </c>
      <c r="I69" s="65" t="s">
        <v>174</v>
      </c>
      <c r="L69" s="57" t="s">
        <v>184</v>
      </c>
      <c r="M69" s="2">
        <v>0</v>
      </c>
      <c r="N69" s="57" t="s">
        <v>185</v>
      </c>
      <c r="O69" s="2">
        <v>0</v>
      </c>
      <c r="P69" s="2"/>
    </row>
    <row r="70" spans="2:24" s="1" customFormat="1" ht="14.25" customHeight="1" x14ac:dyDescent="0.2">
      <c r="B70" s="58" t="s">
        <v>186</v>
      </c>
      <c r="C70" s="68" t="s">
        <v>1075</v>
      </c>
      <c r="D70" s="52"/>
      <c r="E70" s="52"/>
      <c r="F70" s="54">
        <f t="shared" si="0"/>
        <v>0</v>
      </c>
      <c r="H70" s="55" t="s">
        <v>170</v>
      </c>
      <c r="I70" s="65" t="s">
        <v>174</v>
      </c>
      <c r="L70" s="57" t="s">
        <v>187</v>
      </c>
      <c r="M70" s="2">
        <v>0</v>
      </c>
      <c r="N70" s="57" t="s">
        <v>188</v>
      </c>
      <c r="O70" s="2">
        <v>0</v>
      </c>
      <c r="P70" s="2"/>
    </row>
    <row r="71" spans="2:24" s="36" customFormat="1" ht="14.25" customHeight="1" x14ac:dyDescent="0.2">
      <c r="B71" s="44" t="s">
        <v>189</v>
      </c>
      <c r="C71" s="45" t="s">
        <v>1076</v>
      </c>
      <c r="D71" s="46">
        <f>SUM(D72:D79)</f>
        <v>3500000</v>
      </c>
      <c r="E71" s="46">
        <f>SUM(E72:E79)</f>
        <v>0</v>
      </c>
      <c r="F71" s="47">
        <f t="shared" si="0"/>
        <v>3500000</v>
      </c>
      <c r="H71" s="48" t="s">
        <v>170</v>
      </c>
      <c r="I71" s="61" t="s">
        <v>174</v>
      </c>
      <c r="J71" s="39"/>
      <c r="K71" s="39"/>
      <c r="L71" s="42" t="s">
        <v>190</v>
      </c>
      <c r="M71" s="41">
        <v>0</v>
      </c>
      <c r="N71" s="42" t="s">
        <v>191</v>
      </c>
      <c r="O71" s="41">
        <v>0</v>
      </c>
      <c r="P71" s="63"/>
    </row>
    <row r="72" spans="2:24" s="1" customFormat="1" ht="14.25" customHeight="1" x14ac:dyDescent="0.2">
      <c r="B72" s="58" t="s">
        <v>192</v>
      </c>
      <c r="C72" s="68" t="s">
        <v>1077</v>
      </c>
      <c r="D72" s="52"/>
      <c r="E72" s="52"/>
      <c r="F72" s="54">
        <f t="shared" si="0"/>
        <v>0</v>
      </c>
      <c r="H72" s="55" t="s">
        <v>170</v>
      </c>
      <c r="I72" s="65" t="s">
        <v>174</v>
      </c>
      <c r="L72" s="57" t="s">
        <v>193</v>
      </c>
      <c r="M72" s="2">
        <v>0</v>
      </c>
      <c r="N72" s="57" t="s">
        <v>194</v>
      </c>
      <c r="O72" s="2">
        <v>0</v>
      </c>
      <c r="P72" s="2"/>
    </row>
    <row r="73" spans="2:24" s="1" customFormat="1" ht="14.25" customHeight="1" x14ac:dyDescent="0.2">
      <c r="B73" s="58" t="s">
        <v>195</v>
      </c>
      <c r="C73" s="68" t="s">
        <v>1078</v>
      </c>
      <c r="D73" s="52"/>
      <c r="E73" s="52"/>
      <c r="F73" s="54">
        <f t="shared" si="0"/>
        <v>0</v>
      </c>
      <c r="H73" s="55" t="s">
        <v>170</v>
      </c>
      <c r="I73" s="65" t="s">
        <v>174</v>
      </c>
      <c r="L73" s="57" t="s">
        <v>196</v>
      </c>
      <c r="M73" s="2">
        <v>0</v>
      </c>
      <c r="N73" s="57" t="s">
        <v>197</v>
      </c>
      <c r="O73" s="2">
        <v>0</v>
      </c>
      <c r="P73" s="2"/>
    </row>
    <row r="74" spans="2:24" s="1" customFormat="1" ht="14.25" customHeight="1" x14ac:dyDescent="0.2">
      <c r="B74" s="58" t="s">
        <v>198</v>
      </c>
      <c r="C74" s="68" t="s">
        <v>1079</v>
      </c>
      <c r="D74" s="52"/>
      <c r="E74" s="52"/>
      <c r="F74" s="54">
        <f t="shared" si="0"/>
        <v>0</v>
      </c>
      <c r="H74" s="55" t="s">
        <v>170</v>
      </c>
      <c r="I74" s="65" t="s">
        <v>174</v>
      </c>
      <c r="L74" s="57" t="s">
        <v>199</v>
      </c>
      <c r="M74" s="2">
        <v>0</v>
      </c>
      <c r="N74" s="57" t="s">
        <v>200</v>
      </c>
      <c r="O74" s="2">
        <v>0</v>
      </c>
      <c r="P74" s="2"/>
    </row>
    <row r="75" spans="2:24" ht="14.25" customHeight="1" x14ac:dyDescent="0.2">
      <c r="B75" s="58" t="s">
        <v>201</v>
      </c>
      <c r="C75" s="59" t="s">
        <v>1080</v>
      </c>
      <c r="D75" s="52"/>
      <c r="E75" s="52"/>
      <c r="F75" s="54">
        <f t="shared" si="0"/>
        <v>0</v>
      </c>
      <c r="H75" s="55" t="s">
        <v>170</v>
      </c>
      <c r="I75" s="65" t="s">
        <v>174</v>
      </c>
      <c r="L75" s="57" t="s">
        <v>202</v>
      </c>
      <c r="M75" s="2">
        <v>0</v>
      </c>
      <c r="N75" s="57" t="s">
        <v>203</v>
      </c>
      <c r="O75" s="2">
        <v>0</v>
      </c>
      <c r="P75" s="63"/>
    </row>
    <row r="76" spans="2:24" ht="14.25" customHeight="1" x14ac:dyDescent="0.2">
      <c r="B76" s="58" t="s">
        <v>204</v>
      </c>
      <c r="C76" s="59" t="s">
        <v>1081</v>
      </c>
      <c r="D76" s="52"/>
      <c r="E76" s="52"/>
      <c r="F76" s="54">
        <f t="shared" si="0"/>
        <v>0</v>
      </c>
      <c r="H76" s="55" t="s">
        <v>170</v>
      </c>
      <c r="I76" s="65" t="s">
        <v>174</v>
      </c>
      <c r="L76" s="57" t="s">
        <v>205</v>
      </c>
      <c r="M76" s="2">
        <v>0</v>
      </c>
      <c r="N76" s="57" t="s">
        <v>206</v>
      </c>
      <c r="O76" s="2">
        <v>0</v>
      </c>
      <c r="P76" s="63"/>
    </row>
    <row r="77" spans="2:24" ht="14.25" customHeight="1" x14ac:dyDescent="0.2">
      <c r="B77" s="58" t="s">
        <v>207</v>
      </c>
      <c r="C77" s="59" t="s">
        <v>1082</v>
      </c>
      <c r="D77" s="52">
        <v>2000000</v>
      </c>
      <c r="E77" s="52"/>
      <c r="F77" s="54">
        <f t="shared" si="0"/>
        <v>2000000</v>
      </c>
      <c r="H77" s="55" t="s">
        <v>170</v>
      </c>
      <c r="I77" s="65" t="s">
        <v>174</v>
      </c>
      <c r="L77" s="57" t="s">
        <v>208</v>
      </c>
      <c r="M77" s="2">
        <v>0</v>
      </c>
      <c r="N77" s="57" t="s">
        <v>209</v>
      </c>
      <c r="O77" s="2">
        <v>0</v>
      </c>
      <c r="P77" s="63"/>
    </row>
    <row r="78" spans="2:24" ht="14.25" customHeight="1" x14ac:dyDescent="0.2">
      <c r="B78" s="58" t="s">
        <v>210</v>
      </c>
      <c r="C78" s="59" t="s">
        <v>1083</v>
      </c>
      <c r="D78" s="52">
        <v>1500000</v>
      </c>
      <c r="E78" s="52"/>
      <c r="F78" s="54">
        <f t="shared" si="0"/>
        <v>1500000</v>
      </c>
      <c r="H78" s="55" t="s">
        <v>170</v>
      </c>
      <c r="I78" s="65" t="s">
        <v>174</v>
      </c>
      <c r="L78" s="57" t="s">
        <v>211</v>
      </c>
      <c r="M78" s="2">
        <v>0</v>
      </c>
      <c r="N78" s="57" t="s">
        <v>212</v>
      </c>
      <c r="O78" s="2">
        <v>0</v>
      </c>
      <c r="P78" s="63"/>
    </row>
    <row r="79" spans="2:24" s="1" customFormat="1" ht="14.25" customHeight="1" x14ac:dyDescent="0.2">
      <c r="B79" s="58" t="s">
        <v>213</v>
      </c>
      <c r="C79" s="68" t="s">
        <v>1084</v>
      </c>
      <c r="D79" s="52"/>
      <c r="E79" s="52"/>
      <c r="F79" s="54">
        <f t="shared" si="0"/>
        <v>0</v>
      </c>
      <c r="H79" s="55" t="s">
        <v>170</v>
      </c>
      <c r="I79" s="65" t="s">
        <v>174</v>
      </c>
      <c r="L79" s="57" t="s">
        <v>214</v>
      </c>
      <c r="M79" s="2">
        <v>0</v>
      </c>
      <c r="N79" s="57" t="s">
        <v>215</v>
      </c>
      <c r="O79" s="2">
        <v>0</v>
      </c>
      <c r="P79" s="2"/>
    </row>
    <row r="80" spans="2:24" s="36" customFormat="1" ht="14.25" customHeight="1" x14ac:dyDescent="0.2">
      <c r="B80" s="44" t="s">
        <v>216</v>
      </c>
      <c r="C80" s="45" t="s">
        <v>217</v>
      </c>
      <c r="D80" s="46">
        <f>D81</f>
        <v>800000</v>
      </c>
      <c r="E80" s="46">
        <f>E81+E83+E118</f>
        <v>0</v>
      </c>
      <c r="F80" s="47">
        <f t="shared" ref="F80:F83" si="1">D80+E80</f>
        <v>800000</v>
      </c>
      <c r="H80" s="48" t="s">
        <v>170</v>
      </c>
      <c r="I80" s="61" t="s">
        <v>217</v>
      </c>
      <c r="J80" s="39"/>
      <c r="K80" s="39"/>
      <c r="L80" s="42" t="s">
        <v>218</v>
      </c>
      <c r="M80" s="41">
        <v>0</v>
      </c>
      <c r="N80" s="42" t="s">
        <v>219</v>
      </c>
      <c r="O80" s="41">
        <v>0</v>
      </c>
      <c r="P80" s="63"/>
    </row>
    <row r="81" spans="2:18" s="36" customFormat="1" ht="14.25" customHeight="1" x14ac:dyDescent="0.2">
      <c r="B81" s="44" t="s">
        <v>220</v>
      </c>
      <c r="C81" s="45" t="s">
        <v>1085</v>
      </c>
      <c r="D81" s="46">
        <f>SUM(D82:D82)</f>
        <v>800000</v>
      </c>
      <c r="E81" s="46">
        <f>SUM(E82:E82)</f>
        <v>0</v>
      </c>
      <c r="F81" s="47">
        <f t="shared" si="1"/>
        <v>800000</v>
      </c>
      <c r="H81" s="48" t="s">
        <v>170</v>
      </c>
      <c r="I81" s="61" t="s">
        <v>217</v>
      </c>
      <c r="J81" s="39"/>
      <c r="K81" s="39"/>
      <c r="L81" s="42" t="s">
        <v>221</v>
      </c>
      <c r="M81" s="41">
        <v>0</v>
      </c>
      <c r="N81" s="42" t="s">
        <v>222</v>
      </c>
      <c r="O81" s="41">
        <v>0</v>
      </c>
      <c r="P81" s="63"/>
    </row>
    <row r="82" spans="2:18" ht="14.25" customHeight="1" x14ac:dyDescent="0.2">
      <c r="B82" s="58" t="s">
        <v>223</v>
      </c>
      <c r="C82" s="59" t="s">
        <v>1086</v>
      </c>
      <c r="D82" s="52">
        <v>800000</v>
      </c>
      <c r="E82" s="52"/>
      <c r="F82" s="54">
        <f t="shared" si="1"/>
        <v>800000</v>
      </c>
      <c r="H82" s="55" t="s">
        <v>170</v>
      </c>
      <c r="I82" s="65" t="s">
        <v>217</v>
      </c>
      <c r="L82" s="57" t="s">
        <v>224</v>
      </c>
      <c r="M82" s="2">
        <v>0</v>
      </c>
      <c r="N82" s="57" t="s">
        <v>225</v>
      </c>
      <c r="O82" s="2">
        <v>0</v>
      </c>
      <c r="P82" s="63"/>
    </row>
    <row r="83" spans="2:18" s="36" customFormat="1" ht="14.25" customHeight="1" x14ac:dyDescent="0.2">
      <c r="B83" s="44" t="s">
        <v>226</v>
      </c>
      <c r="C83" s="45" t="s">
        <v>1087</v>
      </c>
      <c r="D83" s="46">
        <f>D84</f>
        <v>22391264</v>
      </c>
      <c r="E83" s="46">
        <f>SUM(E84:E114)</f>
        <v>0</v>
      </c>
      <c r="F83" s="47">
        <f t="shared" si="1"/>
        <v>22391264</v>
      </c>
      <c r="H83" s="48" t="s">
        <v>170</v>
      </c>
      <c r="I83" s="61" t="s">
        <v>217</v>
      </c>
      <c r="J83" s="39"/>
      <c r="K83" s="39"/>
      <c r="L83" s="42" t="s">
        <v>227</v>
      </c>
      <c r="M83" s="41">
        <v>0</v>
      </c>
      <c r="N83" s="42" t="s">
        <v>228</v>
      </c>
      <c r="O83" s="41">
        <v>0</v>
      </c>
      <c r="P83" s="63"/>
    </row>
    <row r="84" spans="2:18" s="36" customFormat="1" ht="14.25" customHeight="1" x14ac:dyDescent="0.2">
      <c r="B84" s="44" t="s">
        <v>229</v>
      </c>
      <c r="C84" s="45" t="s">
        <v>1088</v>
      </c>
      <c r="D84" s="46">
        <f>SUM(D85:D113)</f>
        <v>22391264</v>
      </c>
      <c r="E84" s="46"/>
      <c r="F84" s="47">
        <f>D84+E84</f>
        <v>22391264</v>
      </c>
      <c r="H84" s="48" t="s">
        <v>170</v>
      </c>
      <c r="I84" s="61" t="s">
        <v>217</v>
      </c>
      <c r="J84" s="39"/>
      <c r="K84" s="39"/>
      <c r="L84" s="42" t="s">
        <v>230</v>
      </c>
      <c r="M84" s="41">
        <v>0</v>
      </c>
      <c r="N84" s="42" t="s">
        <v>231</v>
      </c>
      <c r="O84" s="41">
        <v>0</v>
      </c>
      <c r="P84" s="63"/>
    </row>
    <row r="85" spans="2:18" s="1" customFormat="1" ht="14.25" customHeight="1" x14ac:dyDescent="0.2">
      <c r="B85" s="58" t="s">
        <v>232</v>
      </c>
      <c r="C85" s="68" t="s">
        <v>1089</v>
      </c>
      <c r="D85" s="52">
        <v>150000</v>
      </c>
      <c r="E85" s="52"/>
      <c r="F85" s="54">
        <f t="shared" ref="F85:F113" si="2">D85+E85</f>
        <v>150000</v>
      </c>
      <c r="H85" s="55" t="s">
        <v>170</v>
      </c>
      <c r="I85" s="65" t="s">
        <v>217</v>
      </c>
      <c r="L85" s="57" t="s">
        <v>233</v>
      </c>
      <c r="M85" s="2">
        <v>0</v>
      </c>
      <c r="N85" s="57" t="s">
        <v>234</v>
      </c>
      <c r="O85" s="2">
        <v>0</v>
      </c>
      <c r="P85" s="2"/>
    </row>
    <row r="86" spans="2:18" ht="14.25" customHeight="1" x14ac:dyDescent="0.2">
      <c r="B86" s="58" t="s">
        <v>235</v>
      </c>
      <c r="C86" s="59" t="s">
        <v>1090</v>
      </c>
      <c r="D86" s="52">
        <v>2500000</v>
      </c>
      <c r="E86" s="52"/>
      <c r="F86" s="54">
        <f t="shared" si="2"/>
        <v>2500000</v>
      </c>
      <c r="H86" s="55" t="s">
        <v>170</v>
      </c>
      <c r="I86" s="65" t="s">
        <v>217</v>
      </c>
      <c r="L86" s="57" t="s">
        <v>236</v>
      </c>
      <c r="M86" s="2">
        <v>0</v>
      </c>
      <c r="N86" s="57" t="s">
        <v>237</v>
      </c>
      <c r="O86" s="2">
        <v>0</v>
      </c>
      <c r="P86" s="63"/>
    </row>
    <row r="87" spans="2:18" ht="19.5" customHeight="1" x14ac:dyDescent="0.2">
      <c r="B87" s="58" t="s">
        <v>238</v>
      </c>
      <c r="C87" s="59" t="s">
        <v>1091</v>
      </c>
      <c r="D87" s="52">
        <v>300000</v>
      </c>
      <c r="E87" s="52"/>
      <c r="F87" s="54">
        <f t="shared" si="2"/>
        <v>300000</v>
      </c>
      <c r="H87" s="55" t="s">
        <v>170</v>
      </c>
      <c r="I87" s="65" t="s">
        <v>217</v>
      </c>
      <c r="L87" s="57" t="s">
        <v>239</v>
      </c>
      <c r="M87" s="2">
        <v>0</v>
      </c>
      <c r="N87" s="57" t="s">
        <v>240</v>
      </c>
      <c r="O87" s="2">
        <v>0</v>
      </c>
      <c r="P87" s="63"/>
    </row>
    <row r="88" spans="2:18" ht="18" customHeight="1" x14ac:dyDescent="0.2">
      <c r="B88" s="58" t="s">
        <v>241</v>
      </c>
      <c r="C88" s="59" t="s">
        <v>1092</v>
      </c>
      <c r="D88" s="52">
        <v>800000</v>
      </c>
      <c r="E88" s="52"/>
      <c r="F88" s="54">
        <f t="shared" si="2"/>
        <v>800000</v>
      </c>
      <c r="H88" s="55" t="s">
        <v>170</v>
      </c>
      <c r="I88" s="65" t="s">
        <v>217</v>
      </c>
      <c r="L88" s="57" t="s">
        <v>242</v>
      </c>
      <c r="M88" s="2">
        <v>0</v>
      </c>
      <c r="N88" s="57" t="s">
        <v>243</v>
      </c>
      <c r="O88" s="2">
        <v>0</v>
      </c>
      <c r="P88" s="63"/>
    </row>
    <row r="89" spans="2:18" ht="32.25" customHeight="1" x14ac:dyDescent="0.2">
      <c r="B89" s="58" t="s">
        <v>244</v>
      </c>
      <c r="C89" s="75" t="s">
        <v>1093</v>
      </c>
      <c r="D89" s="76">
        <f>3402512+808752</f>
        <v>4211264</v>
      </c>
      <c r="E89" s="52"/>
      <c r="F89" s="77">
        <f t="shared" si="2"/>
        <v>4211264</v>
      </c>
      <c r="H89" s="55" t="s">
        <v>170</v>
      </c>
      <c r="I89" s="65" t="s">
        <v>217</v>
      </c>
      <c r="L89" s="57" t="s">
        <v>245</v>
      </c>
      <c r="M89" s="2">
        <v>0</v>
      </c>
      <c r="N89" s="57" t="s">
        <v>246</v>
      </c>
      <c r="O89" s="2">
        <v>0</v>
      </c>
      <c r="P89" s="63"/>
    </row>
    <row r="90" spans="2:18" s="1" customFormat="1" ht="24" customHeight="1" x14ac:dyDescent="0.2">
      <c r="B90" s="58" t="s">
        <v>247</v>
      </c>
      <c r="C90" s="78" t="s">
        <v>1094</v>
      </c>
      <c r="D90" s="79">
        <v>800000</v>
      </c>
      <c r="E90" s="52"/>
      <c r="F90" s="54">
        <f t="shared" si="2"/>
        <v>800000</v>
      </c>
      <c r="H90" s="55" t="s">
        <v>170</v>
      </c>
      <c r="I90" s="65" t="s">
        <v>217</v>
      </c>
      <c r="L90" s="57" t="s">
        <v>248</v>
      </c>
      <c r="M90" s="2">
        <v>0</v>
      </c>
      <c r="N90" s="57" t="s">
        <v>249</v>
      </c>
      <c r="O90" s="2">
        <v>0</v>
      </c>
      <c r="P90" s="2"/>
    </row>
    <row r="91" spans="2:18" s="1" customFormat="1" ht="14.25" customHeight="1" x14ac:dyDescent="0.2">
      <c r="B91" s="58" t="s">
        <v>250</v>
      </c>
      <c r="C91" s="68" t="s">
        <v>1095</v>
      </c>
      <c r="D91" s="52">
        <v>500000</v>
      </c>
      <c r="E91" s="52"/>
      <c r="F91" s="54">
        <f t="shared" si="2"/>
        <v>500000</v>
      </c>
      <c r="H91" s="55" t="s">
        <v>170</v>
      </c>
      <c r="I91" s="65" t="s">
        <v>217</v>
      </c>
      <c r="L91" s="57" t="s">
        <v>251</v>
      </c>
      <c r="M91" s="2">
        <v>0</v>
      </c>
      <c r="N91" s="57" t="s">
        <v>252</v>
      </c>
      <c r="O91" s="2">
        <v>0</v>
      </c>
      <c r="P91" s="2"/>
      <c r="R91" s="31"/>
    </row>
    <row r="92" spans="2:18" ht="24" customHeight="1" x14ac:dyDescent="0.2">
      <c r="B92" s="58" t="s">
        <v>253</v>
      </c>
      <c r="C92" s="59" t="s">
        <v>1096</v>
      </c>
      <c r="D92" s="52">
        <v>1000000</v>
      </c>
      <c r="E92" s="52"/>
      <c r="F92" s="54">
        <f t="shared" si="2"/>
        <v>1000000</v>
      </c>
      <c r="H92" s="55" t="s">
        <v>170</v>
      </c>
      <c r="I92" s="65" t="s">
        <v>217</v>
      </c>
      <c r="L92" s="57" t="s">
        <v>254</v>
      </c>
      <c r="M92" s="2">
        <v>0</v>
      </c>
      <c r="N92" s="57" t="s">
        <v>255</v>
      </c>
      <c r="O92" s="2">
        <v>0</v>
      </c>
      <c r="P92" s="63"/>
    </row>
    <row r="93" spans="2:18" s="1" customFormat="1" ht="14.25" customHeight="1" x14ac:dyDescent="0.2">
      <c r="B93" s="58" t="s">
        <v>256</v>
      </c>
      <c r="C93" s="68" t="s">
        <v>1097</v>
      </c>
      <c r="D93" s="52">
        <v>100000</v>
      </c>
      <c r="E93" s="52"/>
      <c r="F93" s="54">
        <f t="shared" si="2"/>
        <v>100000</v>
      </c>
      <c r="H93" s="55" t="s">
        <v>170</v>
      </c>
      <c r="I93" s="65" t="s">
        <v>217</v>
      </c>
      <c r="L93" s="57" t="s">
        <v>257</v>
      </c>
      <c r="M93" s="2">
        <v>0</v>
      </c>
      <c r="N93" s="57" t="s">
        <v>258</v>
      </c>
      <c r="O93" s="2">
        <v>0</v>
      </c>
      <c r="P93" s="2"/>
    </row>
    <row r="94" spans="2:18" s="1" customFormat="1" ht="14.25" customHeight="1" x14ac:dyDescent="0.2">
      <c r="B94" s="58" t="s">
        <v>259</v>
      </c>
      <c r="C94" s="68" t="s">
        <v>260</v>
      </c>
      <c r="D94" s="52">
        <v>500000</v>
      </c>
      <c r="E94" s="52">
        <v>0</v>
      </c>
      <c r="F94" s="54">
        <f t="shared" si="2"/>
        <v>500000</v>
      </c>
      <c r="H94" s="55"/>
      <c r="I94" s="65"/>
      <c r="L94" s="57"/>
      <c r="M94" s="2"/>
      <c r="N94" s="57"/>
      <c r="O94" s="2"/>
      <c r="P94" s="2"/>
    </row>
    <row r="95" spans="2:18" ht="14.25" customHeight="1" x14ac:dyDescent="0.2">
      <c r="B95" s="58" t="s">
        <v>261</v>
      </c>
      <c r="C95" s="59" t="s">
        <v>1098</v>
      </c>
      <c r="D95" s="52">
        <v>300000</v>
      </c>
      <c r="E95" s="52"/>
      <c r="F95" s="54">
        <f t="shared" si="2"/>
        <v>300000</v>
      </c>
      <c r="H95" s="55" t="s">
        <v>170</v>
      </c>
      <c r="I95" s="65" t="s">
        <v>217</v>
      </c>
      <c r="L95" s="57" t="s">
        <v>262</v>
      </c>
      <c r="M95" s="2">
        <v>0</v>
      </c>
      <c r="N95" s="57" t="s">
        <v>263</v>
      </c>
      <c r="O95" s="2">
        <v>0</v>
      </c>
      <c r="P95" s="63"/>
    </row>
    <row r="96" spans="2:18" ht="23.25" customHeight="1" x14ac:dyDescent="0.2">
      <c r="B96" s="58" t="s">
        <v>264</v>
      </c>
      <c r="C96" s="75" t="s">
        <v>1099</v>
      </c>
      <c r="D96" s="79">
        <v>300000</v>
      </c>
      <c r="E96" s="79"/>
      <c r="F96" s="77">
        <f t="shared" si="2"/>
        <v>300000</v>
      </c>
      <c r="H96" s="55" t="s">
        <v>170</v>
      </c>
      <c r="I96" s="65" t="s">
        <v>217</v>
      </c>
      <c r="L96" s="57" t="s">
        <v>265</v>
      </c>
      <c r="M96" s="2">
        <v>0</v>
      </c>
      <c r="N96" s="57" t="s">
        <v>266</v>
      </c>
      <c r="O96" s="2">
        <v>0</v>
      </c>
      <c r="P96" s="63"/>
    </row>
    <row r="97" spans="2:16" ht="27" customHeight="1" x14ac:dyDescent="0.2">
      <c r="B97" s="58" t="s">
        <v>267</v>
      </c>
      <c r="C97" s="75" t="s">
        <v>1100</v>
      </c>
      <c r="D97" s="76">
        <v>1000000</v>
      </c>
      <c r="E97" s="79"/>
      <c r="F97" s="77">
        <f t="shared" si="2"/>
        <v>1000000</v>
      </c>
      <c r="H97" s="55" t="s">
        <v>170</v>
      </c>
      <c r="I97" s="65" t="s">
        <v>217</v>
      </c>
      <c r="L97" s="57" t="s">
        <v>268</v>
      </c>
      <c r="M97" s="2">
        <v>0</v>
      </c>
      <c r="N97" s="57" t="s">
        <v>269</v>
      </c>
      <c r="O97" s="2">
        <v>0</v>
      </c>
      <c r="P97" s="63"/>
    </row>
    <row r="98" spans="2:16" s="1" customFormat="1" ht="14.25" customHeight="1" x14ac:dyDescent="0.2">
      <c r="B98" s="58" t="s">
        <v>270</v>
      </c>
      <c r="C98" s="68" t="s">
        <v>1101</v>
      </c>
      <c r="D98" s="52">
        <v>100000</v>
      </c>
      <c r="E98" s="52"/>
      <c r="F98" s="54">
        <f t="shared" si="2"/>
        <v>100000</v>
      </c>
      <c r="H98" s="55" t="s">
        <v>170</v>
      </c>
      <c r="I98" s="65" t="s">
        <v>217</v>
      </c>
      <c r="L98" s="57" t="s">
        <v>271</v>
      </c>
      <c r="M98" s="2">
        <v>0</v>
      </c>
      <c r="N98" s="57" t="s">
        <v>272</v>
      </c>
      <c r="O98" s="2">
        <v>0</v>
      </c>
      <c r="P98" s="2"/>
    </row>
    <row r="99" spans="2:16" ht="19.5" customHeight="1" x14ac:dyDescent="0.2">
      <c r="B99" s="58" t="s">
        <v>273</v>
      </c>
      <c r="C99" s="75" t="s">
        <v>1102</v>
      </c>
      <c r="D99" s="79">
        <v>800000</v>
      </c>
      <c r="E99" s="79"/>
      <c r="F99" s="77">
        <f t="shared" si="2"/>
        <v>800000</v>
      </c>
      <c r="H99" s="55" t="s">
        <v>170</v>
      </c>
      <c r="I99" s="65" t="s">
        <v>217</v>
      </c>
      <c r="L99" s="57" t="s">
        <v>274</v>
      </c>
      <c r="M99" s="2">
        <v>0</v>
      </c>
      <c r="N99" s="57" t="s">
        <v>275</v>
      </c>
      <c r="O99" s="2">
        <v>0</v>
      </c>
      <c r="P99" s="63"/>
    </row>
    <row r="100" spans="2:16" s="1" customFormat="1" ht="14.25" customHeight="1" x14ac:dyDescent="0.2">
      <c r="B100" s="58" t="s">
        <v>276</v>
      </c>
      <c r="C100" s="68" t="s">
        <v>1103</v>
      </c>
      <c r="D100" s="52">
        <v>200000</v>
      </c>
      <c r="E100" s="52"/>
      <c r="F100" s="54">
        <f t="shared" si="2"/>
        <v>200000</v>
      </c>
      <c r="H100" s="55" t="s">
        <v>170</v>
      </c>
      <c r="I100" s="65" t="s">
        <v>217</v>
      </c>
      <c r="L100" s="57" t="s">
        <v>277</v>
      </c>
      <c r="M100" s="2">
        <v>0</v>
      </c>
      <c r="N100" s="57" t="s">
        <v>278</v>
      </c>
      <c r="O100" s="2">
        <v>0</v>
      </c>
      <c r="P100" s="2"/>
    </row>
    <row r="101" spans="2:16" s="1" customFormat="1" ht="14.25" customHeight="1" x14ac:dyDescent="0.2">
      <c r="B101" s="58" t="s">
        <v>279</v>
      </c>
      <c r="C101" s="68" t="s">
        <v>1104</v>
      </c>
      <c r="D101" s="52">
        <v>100000</v>
      </c>
      <c r="E101" s="52"/>
      <c r="F101" s="54">
        <f t="shared" si="2"/>
        <v>100000</v>
      </c>
      <c r="H101" s="55" t="s">
        <v>170</v>
      </c>
      <c r="I101" s="65" t="s">
        <v>217</v>
      </c>
      <c r="L101" s="57" t="s">
        <v>280</v>
      </c>
      <c r="M101" s="2">
        <v>0</v>
      </c>
      <c r="N101" s="57" t="s">
        <v>281</v>
      </c>
      <c r="O101" s="2">
        <v>0</v>
      </c>
      <c r="P101" s="2"/>
    </row>
    <row r="102" spans="2:16" s="1" customFormat="1" ht="14.25" customHeight="1" x14ac:dyDescent="0.2">
      <c r="B102" s="58" t="s">
        <v>282</v>
      </c>
      <c r="C102" s="68" t="s">
        <v>1105</v>
      </c>
      <c r="D102" s="52">
        <v>100000</v>
      </c>
      <c r="E102" s="52"/>
      <c r="F102" s="54">
        <f t="shared" si="2"/>
        <v>100000</v>
      </c>
      <c r="H102" s="55" t="s">
        <v>170</v>
      </c>
      <c r="I102" s="65" t="s">
        <v>217</v>
      </c>
      <c r="L102" s="57" t="s">
        <v>283</v>
      </c>
      <c r="M102" s="2">
        <v>0</v>
      </c>
      <c r="N102" s="57" t="s">
        <v>284</v>
      </c>
      <c r="O102" s="2">
        <v>0</v>
      </c>
      <c r="P102" s="2"/>
    </row>
    <row r="103" spans="2:16" ht="24.75" customHeight="1" x14ac:dyDescent="0.2">
      <c r="B103" s="80" t="s">
        <v>285</v>
      </c>
      <c r="C103" s="81" t="s">
        <v>1106</v>
      </c>
      <c r="D103" s="76">
        <v>150000</v>
      </c>
      <c r="E103" s="76"/>
      <c r="F103" s="82">
        <f t="shared" si="2"/>
        <v>150000</v>
      </c>
      <c r="H103" s="55" t="s">
        <v>170</v>
      </c>
      <c r="I103" s="65" t="s">
        <v>217</v>
      </c>
      <c r="L103" s="57" t="s">
        <v>286</v>
      </c>
      <c r="M103" s="2">
        <v>0</v>
      </c>
      <c r="N103" s="57" t="s">
        <v>287</v>
      </c>
      <c r="O103" s="2">
        <v>0</v>
      </c>
      <c r="P103" s="63"/>
    </row>
    <row r="104" spans="2:16" ht="27" customHeight="1" x14ac:dyDescent="0.2">
      <c r="B104" s="58" t="s">
        <v>288</v>
      </c>
      <c r="C104" s="59" t="s">
        <v>1107</v>
      </c>
      <c r="D104" s="79">
        <v>3000000</v>
      </c>
      <c r="E104" s="79"/>
      <c r="F104" s="77">
        <f t="shared" si="2"/>
        <v>3000000</v>
      </c>
      <c r="H104" s="55" t="s">
        <v>170</v>
      </c>
      <c r="I104" s="65" t="s">
        <v>217</v>
      </c>
      <c r="L104" s="57" t="s">
        <v>289</v>
      </c>
      <c r="M104" s="2">
        <v>0</v>
      </c>
      <c r="N104" s="57" t="s">
        <v>290</v>
      </c>
      <c r="O104" s="2">
        <v>0</v>
      </c>
      <c r="P104" s="63"/>
    </row>
    <row r="105" spans="2:16" s="1" customFormat="1" ht="14.25" customHeight="1" x14ac:dyDescent="0.2">
      <c r="B105" s="58" t="s">
        <v>291</v>
      </c>
      <c r="C105" s="68" t="s">
        <v>1108</v>
      </c>
      <c r="D105" s="52">
        <v>100000</v>
      </c>
      <c r="E105" s="52"/>
      <c r="F105" s="54">
        <f t="shared" si="2"/>
        <v>100000</v>
      </c>
      <c r="H105" s="55" t="s">
        <v>170</v>
      </c>
      <c r="I105" s="65" t="s">
        <v>217</v>
      </c>
      <c r="L105" s="57" t="s">
        <v>292</v>
      </c>
      <c r="M105" s="2">
        <v>0</v>
      </c>
      <c r="N105" s="57" t="s">
        <v>293</v>
      </c>
      <c r="O105" s="2">
        <v>0</v>
      </c>
      <c r="P105" s="2"/>
    </row>
    <row r="106" spans="2:16" s="1" customFormat="1" ht="14.25" customHeight="1" x14ac:dyDescent="0.2">
      <c r="B106" s="58" t="s">
        <v>294</v>
      </c>
      <c r="C106" s="68" t="s">
        <v>1109</v>
      </c>
      <c r="D106" s="52">
        <v>80000</v>
      </c>
      <c r="E106" s="52"/>
      <c r="F106" s="54">
        <f t="shared" si="2"/>
        <v>80000</v>
      </c>
      <c r="H106" s="55" t="s">
        <v>170</v>
      </c>
      <c r="I106" s="65" t="s">
        <v>217</v>
      </c>
      <c r="L106" s="57" t="s">
        <v>295</v>
      </c>
      <c r="M106" s="2">
        <v>0</v>
      </c>
      <c r="N106" s="57" t="s">
        <v>296</v>
      </c>
      <c r="O106" s="2">
        <v>0</v>
      </c>
      <c r="P106" s="2"/>
    </row>
    <row r="107" spans="2:16" ht="12" customHeight="1" x14ac:dyDescent="0.2">
      <c r="B107" s="58" t="s">
        <v>297</v>
      </c>
      <c r="C107" s="75" t="s">
        <v>1110</v>
      </c>
      <c r="D107" s="52">
        <v>200000</v>
      </c>
      <c r="E107" s="52"/>
      <c r="F107" s="54">
        <f t="shared" si="2"/>
        <v>200000</v>
      </c>
      <c r="H107" s="55" t="s">
        <v>170</v>
      </c>
      <c r="I107" s="65" t="s">
        <v>217</v>
      </c>
      <c r="L107" s="57" t="s">
        <v>298</v>
      </c>
      <c r="M107" s="2">
        <v>0</v>
      </c>
      <c r="N107" s="57" t="s">
        <v>299</v>
      </c>
      <c r="O107" s="2">
        <v>0</v>
      </c>
      <c r="P107" s="63"/>
    </row>
    <row r="108" spans="2:16" ht="20.25" customHeight="1" x14ac:dyDescent="0.2">
      <c r="B108" s="58" t="s">
        <v>300</v>
      </c>
      <c r="C108" s="83" t="s">
        <v>1111</v>
      </c>
      <c r="D108" s="52">
        <v>1500000</v>
      </c>
      <c r="E108" s="52"/>
      <c r="F108" s="54">
        <f t="shared" si="2"/>
        <v>1500000</v>
      </c>
      <c r="H108" s="55" t="s">
        <v>170</v>
      </c>
      <c r="I108" s="65" t="s">
        <v>217</v>
      </c>
      <c r="L108" s="57" t="s">
        <v>301</v>
      </c>
      <c r="M108" s="2">
        <v>0</v>
      </c>
      <c r="N108" s="57" t="s">
        <v>302</v>
      </c>
      <c r="O108" s="2">
        <v>0</v>
      </c>
      <c r="P108" s="63"/>
    </row>
    <row r="109" spans="2:16" s="1" customFormat="1" ht="14.25" customHeight="1" x14ac:dyDescent="0.2">
      <c r="B109" s="58" t="s">
        <v>303</v>
      </c>
      <c r="C109" s="68" t="s">
        <v>1112</v>
      </c>
      <c r="D109" s="52">
        <v>150000</v>
      </c>
      <c r="E109" s="52"/>
      <c r="F109" s="54">
        <f t="shared" si="2"/>
        <v>150000</v>
      </c>
      <c r="H109" s="55" t="s">
        <v>170</v>
      </c>
      <c r="I109" s="65" t="s">
        <v>217</v>
      </c>
      <c r="L109" s="57" t="s">
        <v>304</v>
      </c>
      <c r="M109" s="2">
        <v>0</v>
      </c>
      <c r="N109" s="57" t="s">
        <v>305</v>
      </c>
      <c r="O109" s="2">
        <v>0</v>
      </c>
      <c r="P109" s="2"/>
    </row>
    <row r="110" spans="2:16" ht="14.25" customHeight="1" x14ac:dyDescent="0.2">
      <c r="B110" s="58" t="s">
        <v>306</v>
      </c>
      <c r="C110" s="59" t="s">
        <v>1113</v>
      </c>
      <c r="D110" s="52">
        <v>400000</v>
      </c>
      <c r="E110" s="52"/>
      <c r="F110" s="54">
        <f t="shared" si="2"/>
        <v>400000</v>
      </c>
      <c r="H110" s="55" t="s">
        <v>170</v>
      </c>
      <c r="I110" s="65" t="s">
        <v>217</v>
      </c>
      <c r="L110" s="57" t="s">
        <v>307</v>
      </c>
      <c r="M110" s="2">
        <v>0</v>
      </c>
      <c r="N110" s="57" t="s">
        <v>308</v>
      </c>
      <c r="O110" s="2">
        <v>0</v>
      </c>
      <c r="P110" s="63"/>
    </row>
    <row r="111" spans="2:16" s="1" customFormat="1" ht="14.25" customHeight="1" x14ac:dyDescent="0.2">
      <c r="B111" s="58" t="s">
        <v>309</v>
      </c>
      <c r="C111" s="68" t="s">
        <v>1114</v>
      </c>
      <c r="D111" s="52">
        <v>800000</v>
      </c>
      <c r="E111" s="52"/>
      <c r="F111" s="54">
        <f t="shared" si="2"/>
        <v>800000</v>
      </c>
      <c r="H111" s="55" t="s">
        <v>170</v>
      </c>
      <c r="I111" s="65" t="s">
        <v>217</v>
      </c>
      <c r="L111" s="57" t="s">
        <v>310</v>
      </c>
      <c r="M111" s="2">
        <v>0</v>
      </c>
      <c r="N111" s="57" t="s">
        <v>311</v>
      </c>
      <c r="O111" s="2">
        <v>0</v>
      </c>
      <c r="P111" s="2"/>
    </row>
    <row r="112" spans="2:16" s="1" customFormat="1" ht="12" customHeight="1" x14ac:dyDescent="0.2">
      <c r="B112" s="58" t="s">
        <v>312</v>
      </c>
      <c r="C112" s="68" t="s">
        <v>1115</v>
      </c>
      <c r="D112" s="52">
        <v>1000000</v>
      </c>
      <c r="E112" s="68"/>
      <c r="F112" s="54">
        <f t="shared" si="2"/>
        <v>1000000</v>
      </c>
      <c r="H112" s="55" t="s">
        <v>170</v>
      </c>
      <c r="I112" s="65" t="s">
        <v>217</v>
      </c>
      <c r="L112" s="57" t="s">
        <v>313</v>
      </c>
      <c r="M112" s="2">
        <v>0</v>
      </c>
      <c r="N112" s="57" t="s">
        <v>314</v>
      </c>
      <c r="O112" s="2">
        <v>0</v>
      </c>
      <c r="P112" s="2"/>
    </row>
    <row r="113" spans="2:16" ht="14.25" customHeight="1" x14ac:dyDescent="0.2">
      <c r="B113" s="58" t="s">
        <v>315</v>
      </c>
      <c r="C113" s="59" t="s">
        <v>316</v>
      </c>
      <c r="D113" s="52">
        <v>1250000</v>
      </c>
      <c r="E113" s="84"/>
      <c r="F113" s="54">
        <f t="shared" si="2"/>
        <v>1250000</v>
      </c>
      <c r="H113" s="55" t="s">
        <v>170</v>
      </c>
      <c r="I113" s="65" t="s">
        <v>217</v>
      </c>
      <c r="L113" s="57" t="s">
        <v>317</v>
      </c>
      <c r="M113" s="2">
        <v>0</v>
      </c>
      <c r="N113" s="57" t="s">
        <v>318</v>
      </c>
      <c r="O113" s="2">
        <v>0</v>
      </c>
      <c r="P113" s="63"/>
    </row>
    <row r="114" spans="2:16" s="36" customFormat="1" ht="14.25" customHeight="1" x14ac:dyDescent="0.2">
      <c r="B114" s="44" t="s">
        <v>319</v>
      </c>
      <c r="C114" s="45" t="s">
        <v>1116</v>
      </c>
      <c r="D114" s="46">
        <f>SUM(D115:D115)</f>
        <v>50000</v>
      </c>
      <c r="E114" s="46">
        <f>SUM(E115:E115)</f>
        <v>0</v>
      </c>
      <c r="F114" s="47">
        <f>D114+E114</f>
        <v>50000</v>
      </c>
      <c r="H114" s="48" t="s">
        <v>170</v>
      </c>
      <c r="I114" s="61" t="s">
        <v>217</v>
      </c>
      <c r="J114" s="39"/>
      <c r="K114" s="39"/>
      <c r="L114" s="42" t="s">
        <v>320</v>
      </c>
      <c r="M114" s="41">
        <v>0</v>
      </c>
      <c r="N114" s="42" t="s">
        <v>321</v>
      </c>
      <c r="O114" s="41">
        <v>0</v>
      </c>
      <c r="P114" s="63"/>
    </row>
    <row r="115" spans="2:16" s="1" customFormat="1" ht="14.25" customHeight="1" x14ac:dyDescent="0.2">
      <c r="B115" s="58" t="s">
        <v>322</v>
      </c>
      <c r="C115" s="68" t="s">
        <v>1117</v>
      </c>
      <c r="D115" s="52">
        <v>50000</v>
      </c>
      <c r="E115" s="52"/>
      <c r="F115" s="54">
        <f>D115+E115</f>
        <v>50000</v>
      </c>
      <c r="H115" s="55" t="s">
        <v>170</v>
      </c>
      <c r="I115" s="65" t="s">
        <v>217</v>
      </c>
      <c r="L115" s="57" t="s">
        <v>323</v>
      </c>
      <c r="M115" s="2">
        <v>0</v>
      </c>
      <c r="N115" s="57" t="s">
        <v>324</v>
      </c>
      <c r="O115" s="2">
        <v>0</v>
      </c>
      <c r="P115" s="2"/>
    </row>
    <row r="116" spans="2:16" s="1" customFormat="1" ht="14.25" customHeight="1" x14ac:dyDescent="0.2">
      <c r="B116" s="44" t="s">
        <v>325</v>
      </c>
      <c r="C116" s="67" t="s">
        <v>326</v>
      </c>
      <c r="D116" s="46">
        <f>D117</f>
        <v>3400000</v>
      </c>
      <c r="E116" s="46"/>
      <c r="F116" s="47">
        <f>D116+E116</f>
        <v>3400000</v>
      </c>
      <c r="H116" s="55"/>
      <c r="I116" s="65"/>
      <c r="L116" s="57"/>
      <c r="M116" s="2"/>
      <c r="N116" s="57"/>
      <c r="O116" s="2"/>
      <c r="P116" s="2"/>
    </row>
    <row r="117" spans="2:16" s="1" customFormat="1" ht="14.25" customHeight="1" x14ac:dyDescent="0.2">
      <c r="B117" s="58" t="s">
        <v>327</v>
      </c>
      <c r="C117" s="68" t="s">
        <v>328</v>
      </c>
      <c r="D117" s="52">
        <v>3400000</v>
      </c>
      <c r="E117" s="52"/>
      <c r="F117" s="54">
        <f>D117+E117</f>
        <v>3400000</v>
      </c>
      <c r="H117" s="55"/>
      <c r="I117" s="65"/>
      <c r="L117" s="57"/>
      <c r="M117" s="2"/>
      <c r="N117" s="57"/>
      <c r="O117" s="2"/>
      <c r="P117" s="2"/>
    </row>
    <row r="118" spans="2:16" s="39" customFormat="1" ht="14.25" customHeight="1" x14ac:dyDescent="0.2">
      <c r="B118" s="44" t="s">
        <v>329</v>
      </c>
      <c r="C118" s="67" t="s">
        <v>1118</v>
      </c>
      <c r="D118" s="46">
        <f>SUM(D119:D119)</f>
        <v>2000000</v>
      </c>
      <c r="E118" s="46">
        <f>SUM(E119:E119)</f>
        <v>0</v>
      </c>
      <c r="F118" s="47">
        <f>D118+E118</f>
        <v>2000000</v>
      </c>
      <c r="H118" s="48" t="s">
        <v>170</v>
      </c>
      <c r="I118" s="61" t="s">
        <v>217</v>
      </c>
      <c r="L118" s="42" t="s">
        <v>330</v>
      </c>
      <c r="M118" s="41">
        <v>0</v>
      </c>
      <c r="N118" s="42" t="s">
        <v>331</v>
      </c>
      <c r="O118" s="41">
        <v>0</v>
      </c>
      <c r="P118" s="41"/>
    </row>
    <row r="119" spans="2:16" s="1" customFormat="1" ht="14.25" customHeight="1" x14ac:dyDescent="0.2">
      <c r="B119" s="58" t="s">
        <v>332</v>
      </c>
      <c r="C119" s="68" t="s">
        <v>1119</v>
      </c>
      <c r="D119" s="52">
        <v>2000000</v>
      </c>
      <c r="E119" s="52"/>
      <c r="F119" s="54">
        <f t="shared" ref="F119:F129" si="3">D119+E119</f>
        <v>2000000</v>
      </c>
      <c r="H119" s="55" t="s">
        <v>170</v>
      </c>
      <c r="I119" s="65" t="s">
        <v>217</v>
      </c>
      <c r="L119" s="57" t="s">
        <v>333</v>
      </c>
      <c r="M119" s="2">
        <v>0</v>
      </c>
      <c r="N119" s="57" t="s">
        <v>334</v>
      </c>
      <c r="O119" s="2">
        <v>0</v>
      </c>
      <c r="P119" s="2"/>
    </row>
    <row r="120" spans="2:16" s="36" customFormat="1" ht="14.25" customHeight="1" x14ac:dyDescent="0.2">
      <c r="B120" s="44" t="s">
        <v>335</v>
      </c>
      <c r="C120" s="45" t="s">
        <v>336</v>
      </c>
      <c r="D120" s="46">
        <f>SUM(D121:D124)</f>
        <v>900000</v>
      </c>
      <c r="E120" s="46">
        <f>SUM(E121:E124)</f>
        <v>0</v>
      </c>
      <c r="F120" s="47">
        <f t="shared" si="3"/>
        <v>900000</v>
      </c>
      <c r="H120" s="48" t="s">
        <v>170</v>
      </c>
      <c r="I120" s="61" t="s">
        <v>336</v>
      </c>
      <c r="J120" s="39"/>
      <c r="K120" s="39"/>
      <c r="L120" s="42" t="s">
        <v>337</v>
      </c>
      <c r="M120" s="41">
        <v>0</v>
      </c>
      <c r="N120" s="42" t="s">
        <v>338</v>
      </c>
      <c r="O120" s="41">
        <v>0</v>
      </c>
      <c r="P120" s="63"/>
    </row>
    <row r="121" spans="2:16" ht="14.25" customHeight="1" x14ac:dyDescent="0.2">
      <c r="B121" s="58" t="s">
        <v>339</v>
      </c>
      <c r="C121" s="59" t="s">
        <v>1120</v>
      </c>
      <c r="D121" s="52">
        <v>250000</v>
      </c>
      <c r="E121" s="52"/>
      <c r="F121" s="54">
        <f t="shared" si="3"/>
        <v>250000</v>
      </c>
      <c r="H121" s="55" t="s">
        <v>170</v>
      </c>
      <c r="I121" s="65" t="s">
        <v>336</v>
      </c>
      <c r="L121" s="57" t="s">
        <v>340</v>
      </c>
      <c r="M121" s="2">
        <v>0</v>
      </c>
      <c r="N121" s="57" t="s">
        <v>341</v>
      </c>
      <c r="O121" s="2">
        <v>0</v>
      </c>
      <c r="P121" s="63"/>
    </row>
    <row r="122" spans="2:16" ht="14.25" customHeight="1" x14ac:dyDescent="0.2">
      <c r="B122" s="58" t="s">
        <v>342</v>
      </c>
      <c r="C122" s="59" t="s">
        <v>1121</v>
      </c>
      <c r="D122" s="52">
        <v>200000</v>
      </c>
      <c r="E122" s="52"/>
      <c r="F122" s="54">
        <f t="shared" si="3"/>
        <v>200000</v>
      </c>
      <c r="H122" s="55" t="s">
        <v>170</v>
      </c>
      <c r="I122" s="65" t="s">
        <v>336</v>
      </c>
      <c r="L122" s="57" t="s">
        <v>343</v>
      </c>
      <c r="M122" s="2">
        <v>0</v>
      </c>
      <c r="N122" s="57" t="s">
        <v>344</v>
      </c>
      <c r="O122" s="2">
        <v>0</v>
      </c>
      <c r="P122" s="63"/>
    </row>
    <row r="123" spans="2:16" ht="14.25" customHeight="1" x14ac:dyDescent="0.2">
      <c r="B123" s="58" t="s">
        <v>345</v>
      </c>
      <c r="C123" s="59" t="s">
        <v>1122</v>
      </c>
      <c r="D123" s="52">
        <v>250000</v>
      </c>
      <c r="E123" s="52"/>
      <c r="F123" s="54">
        <f t="shared" si="3"/>
        <v>250000</v>
      </c>
      <c r="H123" s="55" t="s">
        <v>170</v>
      </c>
      <c r="I123" s="65" t="s">
        <v>336</v>
      </c>
      <c r="L123" s="57" t="s">
        <v>346</v>
      </c>
      <c r="M123" s="2">
        <v>0</v>
      </c>
      <c r="N123" s="57" t="s">
        <v>347</v>
      </c>
      <c r="O123" s="2">
        <v>0</v>
      </c>
      <c r="P123" s="63"/>
    </row>
    <row r="124" spans="2:16" s="1" customFormat="1" ht="14.25" customHeight="1" x14ac:dyDescent="0.2">
      <c r="B124" s="58" t="s">
        <v>348</v>
      </c>
      <c r="C124" s="68" t="s">
        <v>336</v>
      </c>
      <c r="D124" s="52">
        <v>200000</v>
      </c>
      <c r="E124" s="52"/>
      <c r="F124" s="54">
        <f t="shared" si="3"/>
        <v>200000</v>
      </c>
      <c r="H124" s="55" t="s">
        <v>170</v>
      </c>
      <c r="I124" s="65" t="s">
        <v>336</v>
      </c>
      <c r="L124" s="57" t="s">
        <v>349</v>
      </c>
      <c r="M124" s="2">
        <v>0</v>
      </c>
      <c r="N124" s="57" t="s">
        <v>350</v>
      </c>
      <c r="O124" s="2">
        <v>0</v>
      </c>
      <c r="P124" s="2"/>
    </row>
    <row r="125" spans="2:16" s="36" customFormat="1" ht="14.25" customHeight="1" x14ac:dyDescent="0.2">
      <c r="B125" s="44" t="s">
        <v>351</v>
      </c>
      <c r="C125" s="45" t="s">
        <v>352</v>
      </c>
      <c r="D125" s="46">
        <f>D126+D127</f>
        <v>500000</v>
      </c>
      <c r="E125" s="46">
        <f>SUM(E126:E127)</f>
        <v>0</v>
      </c>
      <c r="F125" s="47">
        <f t="shared" si="3"/>
        <v>500000</v>
      </c>
      <c r="H125" s="48" t="s">
        <v>170</v>
      </c>
      <c r="I125" s="61" t="s">
        <v>352</v>
      </c>
      <c r="J125" s="39"/>
      <c r="K125" s="39"/>
      <c r="L125" s="42" t="s">
        <v>353</v>
      </c>
      <c r="M125" s="41">
        <v>0</v>
      </c>
      <c r="N125" s="42" t="s">
        <v>354</v>
      </c>
      <c r="O125" s="41">
        <v>0</v>
      </c>
      <c r="P125" s="63"/>
    </row>
    <row r="126" spans="2:16" ht="14.25" customHeight="1" x14ac:dyDescent="0.2">
      <c r="B126" s="58" t="s">
        <v>355</v>
      </c>
      <c r="C126" s="59" t="s">
        <v>580</v>
      </c>
      <c r="D126" s="52">
        <v>500000</v>
      </c>
      <c r="E126" s="52"/>
      <c r="F126" s="54">
        <f t="shared" si="3"/>
        <v>500000</v>
      </c>
      <c r="H126" s="55" t="s">
        <v>170</v>
      </c>
      <c r="I126" s="65" t="s">
        <v>352</v>
      </c>
      <c r="L126" s="57" t="s">
        <v>356</v>
      </c>
      <c r="M126" s="2">
        <v>0</v>
      </c>
      <c r="N126" s="57" t="s">
        <v>357</v>
      </c>
      <c r="O126" s="2">
        <v>0</v>
      </c>
      <c r="P126" s="63"/>
    </row>
    <row r="127" spans="2:16" ht="14.25" customHeight="1" x14ac:dyDescent="0.2">
      <c r="B127" s="58" t="s">
        <v>358</v>
      </c>
      <c r="C127" s="59" t="s">
        <v>1069</v>
      </c>
      <c r="D127" s="52"/>
      <c r="E127" s="52">
        <v>0</v>
      </c>
      <c r="F127" s="47">
        <f t="shared" si="3"/>
        <v>0</v>
      </c>
      <c r="H127" s="55" t="s">
        <v>170</v>
      </c>
      <c r="I127" s="65" t="s">
        <v>352</v>
      </c>
      <c r="L127" s="57" t="s">
        <v>359</v>
      </c>
      <c r="M127" s="2">
        <v>0</v>
      </c>
      <c r="N127" s="57" t="s">
        <v>360</v>
      </c>
      <c r="O127" s="2">
        <v>0</v>
      </c>
      <c r="P127" s="63"/>
    </row>
    <row r="128" spans="2:16" s="36" customFormat="1" ht="14.25" customHeight="1" x14ac:dyDescent="0.2">
      <c r="B128" s="44" t="s">
        <v>361</v>
      </c>
      <c r="C128" s="45" t="s">
        <v>1123</v>
      </c>
      <c r="D128" s="46">
        <f>SUM(D129:D129)</f>
        <v>1700000</v>
      </c>
      <c r="E128" s="46">
        <f>SUM(E129:E129)</f>
        <v>0</v>
      </c>
      <c r="F128" s="47">
        <f t="shared" si="3"/>
        <v>1700000</v>
      </c>
      <c r="H128" s="48" t="s">
        <v>170</v>
      </c>
      <c r="I128" s="61" t="s">
        <v>362</v>
      </c>
      <c r="J128" s="39"/>
      <c r="K128" s="39"/>
      <c r="L128" s="42" t="s">
        <v>363</v>
      </c>
      <c r="M128" s="41">
        <v>0</v>
      </c>
      <c r="N128" s="42" t="s">
        <v>364</v>
      </c>
      <c r="O128" s="41">
        <v>0</v>
      </c>
      <c r="P128" s="63"/>
    </row>
    <row r="129" spans="2:24" ht="14.25" customHeight="1" x14ac:dyDescent="0.2">
      <c r="B129" s="58" t="s">
        <v>365</v>
      </c>
      <c r="C129" s="68" t="s">
        <v>1124</v>
      </c>
      <c r="D129" s="52">
        <v>1700000</v>
      </c>
      <c r="E129" s="52"/>
      <c r="F129" s="54">
        <f t="shared" si="3"/>
        <v>1700000</v>
      </c>
      <c r="H129" s="55" t="s">
        <v>170</v>
      </c>
      <c r="I129" s="65" t="s">
        <v>362</v>
      </c>
      <c r="L129" s="57" t="s">
        <v>366</v>
      </c>
      <c r="M129" s="2">
        <v>0</v>
      </c>
      <c r="N129" s="57" t="s">
        <v>367</v>
      </c>
      <c r="O129" s="2">
        <v>0</v>
      </c>
      <c r="P129" s="63"/>
    </row>
    <row r="130" spans="2:24" s="43" customFormat="1" ht="14.25" customHeight="1" x14ac:dyDescent="0.2">
      <c r="B130" s="33" t="s">
        <v>718</v>
      </c>
      <c r="C130" s="34" t="s">
        <v>1125</v>
      </c>
      <c r="D130" s="35">
        <f>SUM(D131:D134)</f>
        <v>0</v>
      </c>
      <c r="E130" s="35">
        <f>E131+E132+E133+E134</f>
        <v>108024804</v>
      </c>
      <c r="F130" s="35">
        <f>D130+E130</f>
        <v>108024804</v>
      </c>
      <c r="G130" s="36"/>
      <c r="H130" s="48"/>
      <c r="I130" s="61"/>
      <c r="J130" s="39"/>
      <c r="K130" s="39"/>
      <c r="L130" s="42"/>
      <c r="M130" s="41"/>
      <c r="N130" s="42"/>
      <c r="O130" s="41"/>
      <c r="P130" s="63"/>
      <c r="Q130" s="36"/>
      <c r="R130" s="36"/>
      <c r="S130" s="36"/>
      <c r="T130" s="36"/>
      <c r="U130" s="36"/>
      <c r="V130" s="36"/>
      <c r="W130" s="36"/>
      <c r="X130" s="36"/>
    </row>
    <row r="131" spans="2:24" ht="14.25" customHeight="1" x14ac:dyDescent="0.2">
      <c r="B131" s="58" t="s">
        <v>368</v>
      </c>
      <c r="C131" s="68" t="s">
        <v>1126</v>
      </c>
      <c r="D131" s="52">
        <v>0</v>
      </c>
      <c r="E131" s="52">
        <v>4000000</v>
      </c>
      <c r="F131" s="52">
        <f>D131+E131</f>
        <v>4000000</v>
      </c>
      <c r="H131" s="55" t="s">
        <v>369</v>
      </c>
      <c r="I131" s="65" t="s">
        <v>370</v>
      </c>
      <c r="P131" s="63"/>
    </row>
    <row r="132" spans="2:24" ht="14.25" customHeight="1" x14ac:dyDescent="0.2">
      <c r="B132" s="58" t="s">
        <v>371</v>
      </c>
      <c r="C132" s="68" t="s">
        <v>1127</v>
      </c>
      <c r="D132" s="52">
        <v>0</v>
      </c>
      <c r="E132" s="52">
        <v>1000000</v>
      </c>
      <c r="F132" s="52">
        <f>D132+E132</f>
        <v>1000000</v>
      </c>
      <c r="H132" s="55"/>
      <c r="I132" s="65"/>
      <c r="P132" s="63"/>
    </row>
    <row r="133" spans="2:24" ht="14.25" customHeight="1" x14ac:dyDescent="0.2">
      <c r="B133" s="58" t="s">
        <v>372</v>
      </c>
      <c r="C133" s="58" t="s">
        <v>373</v>
      </c>
      <c r="D133" s="52">
        <v>0</v>
      </c>
      <c r="E133" s="52">
        <v>99024804</v>
      </c>
      <c r="F133" s="52">
        <f>D133+E133</f>
        <v>99024804</v>
      </c>
      <c r="H133" s="55"/>
      <c r="I133" s="65"/>
      <c r="P133" s="73"/>
    </row>
    <row r="134" spans="2:24" ht="12" customHeight="1" x14ac:dyDescent="0.2">
      <c r="B134" s="68" t="s">
        <v>374</v>
      </c>
      <c r="C134" s="68" t="s">
        <v>375</v>
      </c>
      <c r="D134" s="52">
        <v>0</v>
      </c>
      <c r="E134" s="52">
        <v>4000000</v>
      </c>
      <c r="F134" s="52">
        <f>D134+E134</f>
        <v>4000000</v>
      </c>
      <c r="H134" s="55"/>
      <c r="I134" s="65"/>
      <c r="P134" s="63"/>
    </row>
    <row r="135" spans="2:24" ht="14.25" customHeight="1" x14ac:dyDescent="0.2">
      <c r="B135" s="85"/>
      <c r="C135" s="86"/>
      <c r="D135" s="87"/>
      <c r="E135" s="88"/>
      <c r="F135" s="88"/>
      <c r="H135" s="55"/>
      <c r="I135" s="65"/>
    </row>
    <row r="136" spans="2:24" ht="14.25" customHeight="1" x14ac:dyDescent="0.2">
      <c r="B136" s="661" t="s">
        <v>376</v>
      </c>
      <c r="C136" s="661"/>
      <c r="D136" s="661"/>
      <c r="E136" s="661"/>
      <c r="F136" s="661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</row>
    <row r="137" spans="2:24" ht="14.25" customHeight="1" x14ac:dyDescent="0.2">
      <c r="B137" s="90"/>
      <c r="C137" s="90"/>
      <c r="D137" s="90"/>
      <c r="E137" s="90"/>
      <c r="F137" s="90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</row>
    <row r="138" spans="2:24" ht="14.25" customHeight="1" x14ac:dyDescent="0.25">
      <c r="B138" s="662" t="s">
        <v>377</v>
      </c>
      <c r="C138" s="662"/>
      <c r="D138" s="662"/>
      <c r="E138" s="662"/>
      <c r="F138" s="662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</row>
    <row r="139" spans="2:24" ht="14.25" customHeight="1" x14ac:dyDescent="0.2">
      <c r="B139" s="92"/>
      <c r="C139" s="92"/>
      <c r="D139" s="92"/>
      <c r="E139" s="92"/>
      <c r="F139" s="92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</row>
    <row r="140" spans="2:24" ht="14.25" customHeight="1" x14ac:dyDescent="0.2">
      <c r="B140" s="663" t="s">
        <v>378</v>
      </c>
      <c r="C140" s="663"/>
      <c r="D140" s="663"/>
      <c r="E140" s="663"/>
      <c r="F140" s="663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24" ht="14.25" customHeight="1" x14ac:dyDescent="0.2">
      <c r="B141" s="664" t="s">
        <v>379</v>
      </c>
      <c r="C141" s="664"/>
      <c r="D141" s="664"/>
      <c r="E141" s="664"/>
      <c r="F141" s="664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</row>
    <row r="142" spans="2:24" ht="14.25" customHeight="1" x14ac:dyDescent="0.2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</row>
    <row r="143" spans="2:24" ht="14.25" customHeight="1" x14ac:dyDescent="0.2">
      <c r="B143" s="85"/>
      <c r="C143" s="96"/>
      <c r="D143" s="87"/>
      <c r="E143" s="88"/>
      <c r="F143" s="88"/>
      <c r="H143" s="55" t="s">
        <v>369</v>
      </c>
      <c r="I143" s="65" t="s">
        <v>380</v>
      </c>
    </row>
    <row r="144" spans="2:24" ht="14.25" customHeight="1" x14ac:dyDescent="0.2">
      <c r="B144" s="85"/>
      <c r="C144" s="96"/>
      <c r="D144" s="87"/>
      <c r="E144" s="88"/>
      <c r="F144" s="88"/>
      <c r="H144" s="55" t="s">
        <v>369</v>
      </c>
      <c r="I144" s="65" t="s">
        <v>381</v>
      </c>
    </row>
    <row r="145" spans="2:9" ht="14.25" customHeight="1" x14ac:dyDescent="0.2">
      <c r="B145" s="85"/>
      <c r="C145" s="96"/>
      <c r="D145" s="87"/>
      <c r="E145" s="88"/>
      <c r="F145" s="88"/>
      <c r="H145" s="55" t="s">
        <v>369</v>
      </c>
      <c r="I145" s="65" t="s">
        <v>381</v>
      </c>
    </row>
    <row r="146" spans="2:9" ht="14.25" customHeight="1" x14ac:dyDescent="0.2">
      <c r="B146" s="85"/>
      <c r="C146" s="96"/>
      <c r="D146" s="87"/>
      <c r="E146" s="88"/>
      <c r="F146" s="88"/>
      <c r="H146" s="55" t="s">
        <v>369</v>
      </c>
      <c r="I146" s="65" t="s">
        <v>381</v>
      </c>
    </row>
    <row r="147" spans="2:9" ht="14.25" customHeight="1" x14ac:dyDescent="0.2">
      <c r="B147" s="85"/>
      <c r="C147" s="96"/>
      <c r="D147" s="87"/>
      <c r="E147" s="88"/>
      <c r="F147" s="88"/>
      <c r="H147" s="55" t="s">
        <v>382</v>
      </c>
      <c r="I147" s="65" t="s">
        <v>381</v>
      </c>
    </row>
    <row r="148" spans="2:9" ht="14.25" customHeight="1" x14ac:dyDescent="0.2">
      <c r="B148" s="85"/>
      <c r="C148" s="96"/>
      <c r="D148" s="87"/>
      <c r="E148" s="88"/>
      <c r="F148" s="88"/>
      <c r="H148" s="55" t="s">
        <v>369</v>
      </c>
      <c r="I148" s="65" t="s">
        <v>381</v>
      </c>
    </row>
    <row r="149" spans="2:9" ht="14.25" customHeight="1" x14ac:dyDescent="0.2">
      <c r="B149" s="85"/>
      <c r="C149" s="96"/>
      <c r="D149" s="97"/>
      <c r="E149" s="88"/>
      <c r="F149" s="88"/>
      <c r="H149" s="55" t="s">
        <v>369</v>
      </c>
      <c r="I149" s="65" t="s">
        <v>381</v>
      </c>
    </row>
    <row r="150" spans="2:9" ht="14.25" customHeight="1" x14ac:dyDescent="0.2">
      <c r="B150" s="98"/>
      <c r="C150" s="96"/>
      <c r="D150" s="97"/>
      <c r="E150" s="88"/>
      <c r="F150" s="88"/>
      <c r="H150" s="99" t="s">
        <v>383</v>
      </c>
      <c r="I150" s="100"/>
    </row>
    <row r="151" spans="2:9" ht="14.25" customHeight="1" x14ac:dyDescent="0.2">
      <c r="B151" s="85"/>
      <c r="C151" s="96"/>
      <c r="D151" s="97"/>
      <c r="E151" s="88"/>
      <c r="F151" s="88"/>
      <c r="H151" s="55" t="s">
        <v>383</v>
      </c>
      <c r="I151" s="65" t="s">
        <v>14</v>
      </c>
    </row>
    <row r="152" spans="2:9" ht="14.25" customHeight="1" x14ac:dyDescent="0.2">
      <c r="B152" s="85"/>
      <c r="C152" s="96"/>
      <c r="D152" s="97"/>
      <c r="E152" s="88"/>
      <c r="F152" s="88"/>
      <c r="H152" s="55" t="s">
        <v>383</v>
      </c>
      <c r="I152" s="65" t="s">
        <v>14</v>
      </c>
    </row>
    <row r="153" spans="2:9" ht="14.25" customHeight="1" x14ac:dyDescent="0.2">
      <c r="B153" s="85"/>
      <c r="C153" s="96"/>
      <c r="D153" s="97"/>
      <c r="E153" s="88"/>
      <c r="F153" s="88"/>
      <c r="H153" s="55" t="s">
        <v>383</v>
      </c>
      <c r="I153" s="65" t="s">
        <v>14</v>
      </c>
    </row>
    <row r="154" spans="2:9" ht="14.25" customHeight="1" x14ac:dyDescent="0.2">
      <c r="B154" s="85"/>
      <c r="C154" s="96"/>
      <c r="D154" s="97"/>
      <c r="E154" s="88"/>
      <c r="F154" s="88"/>
      <c r="H154" s="55" t="s">
        <v>369</v>
      </c>
      <c r="I154" s="65" t="s">
        <v>336</v>
      </c>
    </row>
    <row r="155" spans="2:9" ht="14.25" customHeight="1" x14ac:dyDescent="0.2">
      <c r="B155" s="85"/>
      <c r="C155" s="96"/>
      <c r="D155" s="97"/>
      <c r="E155" s="88"/>
      <c r="F155" s="88"/>
      <c r="H155" s="55" t="s">
        <v>369</v>
      </c>
      <c r="I155" s="65" t="s">
        <v>336</v>
      </c>
    </row>
    <row r="156" spans="2:9" ht="14.25" customHeight="1" x14ac:dyDescent="0.2">
      <c r="B156" s="85"/>
      <c r="C156" s="96"/>
      <c r="D156" s="97"/>
      <c r="E156" s="88"/>
      <c r="F156" s="88"/>
      <c r="H156" s="55" t="s">
        <v>369</v>
      </c>
      <c r="I156" s="65" t="s">
        <v>384</v>
      </c>
    </row>
    <row r="157" spans="2:9" ht="14.25" customHeight="1" x14ac:dyDescent="0.2">
      <c r="B157" s="85"/>
      <c r="C157" s="96"/>
      <c r="D157" s="97"/>
      <c r="E157" s="88"/>
      <c r="F157" s="88"/>
      <c r="H157" s="55" t="s">
        <v>369</v>
      </c>
      <c r="I157" s="65" t="s">
        <v>384</v>
      </c>
    </row>
    <row r="158" spans="2:9" ht="14.25" customHeight="1" x14ac:dyDescent="0.2">
      <c r="B158" s="85"/>
      <c r="C158" s="96"/>
      <c r="D158" s="97"/>
      <c r="E158" s="88"/>
      <c r="F158" s="88"/>
      <c r="H158" s="55" t="s">
        <v>369</v>
      </c>
      <c r="I158" s="65" t="s">
        <v>384</v>
      </c>
    </row>
    <row r="159" spans="2:9" ht="14.25" customHeight="1" x14ac:dyDescent="0.2">
      <c r="B159" s="85"/>
      <c r="C159" s="96"/>
      <c r="D159" s="97"/>
      <c r="E159" s="88"/>
      <c r="F159" s="88"/>
      <c r="H159" s="55" t="s">
        <v>369</v>
      </c>
      <c r="I159" s="65" t="s">
        <v>384</v>
      </c>
    </row>
    <row r="160" spans="2:9" ht="14.25" customHeight="1" x14ac:dyDescent="0.2">
      <c r="B160" s="85"/>
      <c r="C160" s="96"/>
      <c r="D160" s="97"/>
      <c r="E160" s="88"/>
      <c r="F160" s="88"/>
      <c r="H160" s="55" t="s">
        <v>369</v>
      </c>
      <c r="I160" s="65" t="s">
        <v>384</v>
      </c>
    </row>
    <row r="161" spans="2:9" ht="14.25" customHeight="1" x14ac:dyDescent="0.2">
      <c r="B161" s="85"/>
      <c r="C161" s="96"/>
      <c r="D161" s="97"/>
      <c r="E161" s="88"/>
      <c r="F161" s="88"/>
      <c r="H161" s="55" t="s">
        <v>369</v>
      </c>
      <c r="I161" s="65" t="s">
        <v>384</v>
      </c>
    </row>
    <row r="162" spans="2:9" ht="14.25" customHeight="1" x14ac:dyDescent="0.2">
      <c r="B162" s="85"/>
      <c r="C162" s="96"/>
      <c r="D162" s="97"/>
      <c r="E162" s="88"/>
      <c r="F162" s="88"/>
      <c r="H162" s="55" t="s">
        <v>369</v>
      </c>
      <c r="I162" s="65" t="s">
        <v>384</v>
      </c>
    </row>
    <row r="163" spans="2:9" ht="14.25" customHeight="1" x14ac:dyDescent="0.2">
      <c r="B163" s="85"/>
      <c r="C163" s="96"/>
      <c r="D163" s="97"/>
      <c r="E163" s="88"/>
      <c r="F163" s="88"/>
      <c r="H163" s="55" t="s">
        <v>369</v>
      </c>
      <c r="I163" s="65" t="s">
        <v>384</v>
      </c>
    </row>
    <row r="164" spans="2:9" ht="14.25" customHeight="1" x14ac:dyDescent="0.2">
      <c r="B164" s="85"/>
      <c r="C164" s="96"/>
      <c r="D164" s="97"/>
      <c r="E164" s="88"/>
      <c r="F164" s="88"/>
      <c r="H164" s="55" t="s">
        <v>369</v>
      </c>
      <c r="I164" s="65" t="s">
        <v>384</v>
      </c>
    </row>
    <row r="165" spans="2:9" ht="14.25" customHeight="1" x14ac:dyDescent="0.2">
      <c r="B165" s="85"/>
      <c r="C165" s="96"/>
      <c r="D165" s="97"/>
      <c r="E165" s="88"/>
      <c r="F165" s="88"/>
      <c r="H165" s="55" t="s">
        <v>369</v>
      </c>
      <c r="I165" s="65" t="s">
        <v>384</v>
      </c>
    </row>
    <row r="166" spans="2:9" ht="14.25" customHeight="1" x14ac:dyDescent="0.2">
      <c r="B166" s="85"/>
      <c r="C166" s="96"/>
      <c r="D166" s="97"/>
      <c r="E166" s="88"/>
      <c r="F166" s="88"/>
      <c r="H166" s="55" t="s">
        <v>369</v>
      </c>
      <c r="I166" s="65" t="s">
        <v>384</v>
      </c>
    </row>
    <row r="167" spans="2:9" ht="14.25" customHeight="1" x14ac:dyDescent="0.2">
      <c r="B167" s="85"/>
      <c r="C167" s="96"/>
      <c r="D167" s="97"/>
      <c r="E167" s="88"/>
      <c r="F167" s="88"/>
      <c r="H167" s="55" t="s">
        <v>369</v>
      </c>
      <c r="I167" s="65" t="s">
        <v>384</v>
      </c>
    </row>
    <row r="168" spans="2:9" ht="14.25" customHeight="1" x14ac:dyDescent="0.2">
      <c r="B168" s="85"/>
      <c r="C168" s="96"/>
      <c r="D168" s="97"/>
      <c r="E168" s="88"/>
      <c r="F168" s="88"/>
      <c r="H168" s="55" t="s">
        <v>369</v>
      </c>
      <c r="I168" s="65" t="s">
        <v>384</v>
      </c>
    </row>
    <row r="169" spans="2:9" ht="14.25" customHeight="1" x14ac:dyDescent="0.2">
      <c r="B169" s="85"/>
      <c r="C169" s="96"/>
      <c r="D169" s="97"/>
      <c r="E169" s="88"/>
      <c r="F169" s="88"/>
      <c r="H169" s="55" t="s">
        <v>369</v>
      </c>
      <c r="I169" s="65" t="s">
        <v>384</v>
      </c>
    </row>
    <row r="170" spans="2:9" ht="14.25" customHeight="1" x14ac:dyDescent="0.2">
      <c r="B170" s="85"/>
      <c r="C170" s="96"/>
      <c r="D170" s="97"/>
      <c r="E170" s="88"/>
      <c r="F170" s="88"/>
      <c r="H170" s="55" t="s">
        <v>369</v>
      </c>
      <c r="I170" s="65" t="s">
        <v>384</v>
      </c>
    </row>
    <row r="171" spans="2:9" ht="14.25" customHeight="1" x14ac:dyDescent="0.2">
      <c r="B171" s="98"/>
      <c r="C171" s="96"/>
      <c r="D171" s="97"/>
      <c r="E171" s="88"/>
      <c r="F171" s="88"/>
      <c r="H171" s="99" t="s">
        <v>369</v>
      </c>
      <c r="I171" s="100" t="s">
        <v>384</v>
      </c>
    </row>
    <row r="172" spans="2:9" ht="14.25" customHeight="1" x14ac:dyDescent="0.2">
      <c r="B172" s="98"/>
      <c r="C172" s="96"/>
      <c r="D172" s="97"/>
      <c r="E172" s="88"/>
      <c r="F172" s="88"/>
      <c r="H172" s="55" t="s">
        <v>369</v>
      </c>
      <c r="I172" s="65" t="s">
        <v>385</v>
      </c>
    </row>
    <row r="173" spans="2:9" ht="14.25" customHeight="1" x14ac:dyDescent="0.2">
      <c r="B173" s="98"/>
      <c r="C173" s="96"/>
      <c r="D173" s="97"/>
      <c r="E173" s="88"/>
      <c r="F173" s="88"/>
      <c r="H173" s="55" t="s">
        <v>369</v>
      </c>
      <c r="I173" s="65" t="s">
        <v>385</v>
      </c>
    </row>
    <row r="174" spans="2:9" ht="14.25" customHeight="1" x14ac:dyDescent="0.2">
      <c r="B174" s="85"/>
      <c r="C174" s="96"/>
      <c r="D174" s="97"/>
      <c r="E174" s="88"/>
      <c r="F174" s="88"/>
      <c r="H174" s="55" t="s">
        <v>369</v>
      </c>
      <c r="I174" s="65" t="s">
        <v>385</v>
      </c>
    </row>
    <row r="175" spans="2:9" ht="14.25" customHeight="1" x14ac:dyDescent="0.2">
      <c r="B175" s="85"/>
      <c r="C175" s="96"/>
      <c r="D175" s="97"/>
      <c r="E175" s="88"/>
      <c r="F175" s="88"/>
      <c r="H175" s="55" t="s">
        <v>369</v>
      </c>
      <c r="I175" s="65" t="s">
        <v>385</v>
      </c>
    </row>
    <row r="176" spans="2:9" ht="14.25" customHeight="1" x14ac:dyDescent="0.2">
      <c r="B176" s="85"/>
      <c r="C176" s="96"/>
      <c r="D176" s="97"/>
      <c r="E176" s="88"/>
      <c r="F176" s="88"/>
      <c r="H176" s="55" t="s">
        <v>369</v>
      </c>
      <c r="I176" s="65" t="s">
        <v>385</v>
      </c>
    </row>
    <row r="177" spans="2:9" ht="14.25" customHeight="1" x14ac:dyDescent="0.2">
      <c r="B177" s="85"/>
      <c r="C177" s="96"/>
      <c r="D177" s="97"/>
      <c r="E177" s="88"/>
      <c r="F177" s="88"/>
      <c r="H177" s="55" t="s">
        <v>369</v>
      </c>
      <c r="I177" s="65" t="s">
        <v>385</v>
      </c>
    </row>
    <row r="178" spans="2:9" ht="14.25" customHeight="1" x14ac:dyDescent="0.2">
      <c r="B178" s="85"/>
      <c r="C178" s="96"/>
      <c r="D178" s="97"/>
      <c r="E178" s="88"/>
      <c r="F178" s="88"/>
      <c r="H178" s="55" t="s">
        <v>369</v>
      </c>
      <c r="I178" s="65" t="s">
        <v>385</v>
      </c>
    </row>
    <row r="179" spans="2:9" ht="14.25" customHeight="1" x14ac:dyDescent="0.2">
      <c r="B179" s="85"/>
      <c r="C179" s="96"/>
      <c r="D179" s="97"/>
      <c r="E179" s="88"/>
      <c r="F179" s="88"/>
      <c r="H179" s="55" t="s">
        <v>369</v>
      </c>
      <c r="I179" s="65" t="s">
        <v>385</v>
      </c>
    </row>
    <row r="180" spans="2:9" ht="14.25" customHeight="1" x14ac:dyDescent="0.2">
      <c r="B180" s="85"/>
      <c r="C180" s="96"/>
      <c r="D180" s="97"/>
      <c r="E180" s="88"/>
      <c r="F180" s="88"/>
      <c r="H180" s="55" t="s">
        <v>369</v>
      </c>
      <c r="I180" s="65" t="s">
        <v>385</v>
      </c>
    </row>
    <row r="181" spans="2:9" ht="14.25" customHeight="1" x14ac:dyDescent="0.2">
      <c r="B181" s="85"/>
      <c r="C181" s="96"/>
      <c r="D181" s="97"/>
      <c r="E181" s="88"/>
      <c r="F181" s="88"/>
      <c r="H181" s="55" t="s">
        <v>369</v>
      </c>
      <c r="I181" s="65" t="s">
        <v>385</v>
      </c>
    </row>
    <row r="182" spans="2:9" ht="14.25" customHeight="1" x14ac:dyDescent="0.2">
      <c r="B182" s="85"/>
      <c r="C182" s="96"/>
      <c r="D182" s="97"/>
      <c r="E182" s="88"/>
      <c r="F182" s="88"/>
      <c r="H182" s="55" t="s">
        <v>369</v>
      </c>
      <c r="I182" s="65" t="s">
        <v>385</v>
      </c>
    </row>
    <row r="183" spans="2:9" ht="14.25" customHeight="1" x14ac:dyDescent="0.2">
      <c r="B183" s="85"/>
      <c r="C183" s="96"/>
      <c r="D183" s="97"/>
      <c r="E183" s="88"/>
      <c r="F183" s="88"/>
      <c r="H183" s="55" t="s">
        <v>369</v>
      </c>
      <c r="I183" s="65" t="s">
        <v>385</v>
      </c>
    </row>
    <row r="184" spans="2:9" ht="14.25" customHeight="1" x14ac:dyDescent="0.2">
      <c r="B184" s="85"/>
      <c r="C184" s="96"/>
      <c r="D184" s="97"/>
      <c r="E184" s="88"/>
      <c r="F184" s="88"/>
      <c r="H184" s="55" t="s">
        <v>369</v>
      </c>
      <c r="I184" s="65" t="s">
        <v>385</v>
      </c>
    </row>
    <row r="185" spans="2:9" ht="14.25" customHeight="1" x14ac:dyDescent="0.2">
      <c r="B185" s="85"/>
      <c r="C185" s="96"/>
      <c r="D185" s="97"/>
      <c r="E185" s="88"/>
      <c r="F185" s="88"/>
      <c r="H185" s="55" t="s">
        <v>369</v>
      </c>
      <c r="I185" s="65" t="s">
        <v>385</v>
      </c>
    </row>
    <row r="186" spans="2:9" ht="14.25" customHeight="1" x14ac:dyDescent="0.2">
      <c r="B186" s="85"/>
      <c r="C186" s="96"/>
      <c r="D186" s="97"/>
      <c r="E186" s="88"/>
      <c r="F186" s="88"/>
      <c r="H186" s="55" t="s">
        <v>369</v>
      </c>
      <c r="I186" s="65" t="s">
        <v>174</v>
      </c>
    </row>
    <row r="187" spans="2:9" ht="14.25" customHeight="1" x14ac:dyDescent="0.2">
      <c r="B187" s="85"/>
      <c r="C187" s="96"/>
      <c r="D187" s="97"/>
      <c r="E187" s="88"/>
      <c r="F187" s="88"/>
      <c r="H187" s="55" t="s">
        <v>369</v>
      </c>
      <c r="I187" s="65" t="s">
        <v>174</v>
      </c>
    </row>
    <row r="188" spans="2:9" ht="14.25" customHeight="1" x14ac:dyDescent="0.2">
      <c r="B188" s="85"/>
      <c r="C188" s="96"/>
      <c r="D188" s="97"/>
      <c r="E188" s="88"/>
      <c r="F188" s="88"/>
      <c r="H188" s="55" t="s">
        <v>369</v>
      </c>
      <c r="I188" s="65" t="s">
        <v>174</v>
      </c>
    </row>
    <row r="189" spans="2:9" ht="14.25" customHeight="1" x14ac:dyDescent="0.2">
      <c r="B189" s="85"/>
      <c r="C189" s="96"/>
      <c r="D189" s="97"/>
      <c r="E189" s="88"/>
      <c r="F189" s="88"/>
      <c r="H189" s="55" t="s">
        <v>369</v>
      </c>
      <c r="I189" s="65" t="s">
        <v>174</v>
      </c>
    </row>
    <row r="190" spans="2:9" ht="14.25" customHeight="1" x14ac:dyDescent="0.2">
      <c r="B190" s="85"/>
      <c r="C190" s="96"/>
      <c r="D190" s="97"/>
      <c r="E190" s="88"/>
      <c r="F190" s="88"/>
      <c r="H190" s="55" t="s">
        <v>369</v>
      </c>
      <c r="I190" s="65" t="s">
        <v>174</v>
      </c>
    </row>
    <row r="191" spans="2:9" ht="14.25" customHeight="1" x14ac:dyDescent="0.2">
      <c r="B191" s="85"/>
      <c r="C191" s="96"/>
      <c r="D191" s="97"/>
      <c r="E191" s="88"/>
      <c r="F191" s="88"/>
      <c r="H191" s="55" t="s">
        <v>369</v>
      </c>
      <c r="I191" s="65" t="s">
        <v>174</v>
      </c>
    </row>
    <row r="192" spans="2:9" ht="14.25" customHeight="1" x14ac:dyDescent="0.2">
      <c r="B192" s="85"/>
      <c r="C192" s="96"/>
      <c r="D192" s="97"/>
      <c r="E192" s="88"/>
      <c r="F192" s="88"/>
      <c r="H192" s="55" t="s">
        <v>369</v>
      </c>
      <c r="I192" s="65" t="s">
        <v>174</v>
      </c>
    </row>
    <row r="193" spans="2:9" ht="14.25" customHeight="1" x14ac:dyDescent="0.2">
      <c r="B193" s="85"/>
      <c r="C193" s="96"/>
      <c r="D193" s="97"/>
      <c r="E193" s="88"/>
      <c r="F193" s="88"/>
      <c r="H193" s="55" t="s">
        <v>369</v>
      </c>
      <c r="I193" s="65" t="s">
        <v>174</v>
      </c>
    </row>
    <row r="194" spans="2:9" ht="14.25" customHeight="1" x14ac:dyDescent="0.2">
      <c r="B194" s="85"/>
      <c r="C194" s="96"/>
      <c r="D194" s="97"/>
      <c r="E194" s="88"/>
      <c r="F194" s="88"/>
      <c r="H194" s="55" t="s">
        <v>369</v>
      </c>
      <c r="I194" s="65" t="s">
        <v>174</v>
      </c>
    </row>
    <row r="195" spans="2:9" ht="14.25" customHeight="1" x14ac:dyDescent="0.2">
      <c r="B195" s="85"/>
      <c r="C195" s="96"/>
      <c r="D195" s="97"/>
      <c r="E195" s="88"/>
      <c r="F195" s="88"/>
      <c r="H195" s="55" t="s">
        <v>369</v>
      </c>
      <c r="I195" s="65" t="s">
        <v>174</v>
      </c>
    </row>
    <row r="196" spans="2:9" ht="14.25" customHeight="1" x14ac:dyDescent="0.2">
      <c r="B196" s="85"/>
      <c r="C196" s="96"/>
      <c r="D196" s="97"/>
      <c r="E196" s="88"/>
      <c r="F196" s="88"/>
      <c r="H196" s="55" t="s">
        <v>369</v>
      </c>
      <c r="I196" s="65" t="s">
        <v>174</v>
      </c>
    </row>
    <row r="197" spans="2:9" ht="14.25" customHeight="1" x14ac:dyDescent="0.2">
      <c r="B197" s="85"/>
      <c r="C197" s="96"/>
      <c r="D197" s="97"/>
      <c r="E197" s="88"/>
      <c r="F197" s="88"/>
      <c r="H197" s="55" t="s">
        <v>369</v>
      </c>
      <c r="I197" s="65" t="s">
        <v>174</v>
      </c>
    </row>
    <row r="198" spans="2:9" ht="14.25" customHeight="1" x14ac:dyDescent="0.2">
      <c r="B198" s="85"/>
      <c r="C198" s="96"/>
      <c r="D198" s="97"/>
      <c r="E198" s="88"/>
      <c r="F198" s="88"/>
      <c r="H198" s="55" t="s">
        <v>369</v>
      </c>
      <c r="I198" s="65" t="s">
        <v>174</v>
      </c>
    </row>
    <row r="199" spans="2:9" ht="14.25" customHeight="1" x14ac:dyDescent="0.2">
      <c r="B199" s="85"/>
      <c r="C199" s="96"/>
      <c r="D199" s="97"/>
      <c r="E199" s="88"/>
      <c r="F199" s="88"/>
      <c r="H199" s="55" t="s">
        <v>369</v>
      </c>
      <c r="I199" s="65" t="s">
        <v>386</v>
      </c>
    </row>
    <row r="200" spans="2:9" ht="14.25" customHeight="1" x14ac:dyDescent="0.2">
      <c r="B200" s="85"/>
      <c r="C200" s="96"/>
      <c r="D200" s="97"/>
      <c r="E200" s="88"/>
      <c r="F200" s="88"/>
      <c r="H200" s="55" t="s">
        <v>369</v>
      </c>
      <c r="I200" s="65" t="s">
        <v>386</v>
      </c>
    </row>
    <row r="201" spans="2:9" ht="14.25" customHeight="1" x14ac:dyDescent="0.2">
      <c r="B201" s="85"/>
      <c r="C201" s="96"/>
      <c r="D201" s="97"/>
      <c r="E201" s="88"/>
      <c r="F201" s="88"/>
      <c r="H201" s="55" t="s">
        <v>369</v>
      </c>
      <c r="I201" s="65" t="s">
        <v>386</v>
      </c>
    </row>
    <row r="202" spans="2:9" ht="14.25" customHeight="1" x14ac:dyDescent="0.2">
      <c r="B202" s="85"/>
      <c r="C202" s="96"/>
      <c r="D202" s="97"/>
      <c r="E202" s="88"/>
      <c r="F202" s="88"/>
      <c r="H202" s="55" t="s">
        <v>369</v>
      </c>
      <c r="I202" s="65" t="s">
        <v>386</v>
      </c>
    </row>
    <row r="203" spans="2:9" ht="14.25" customHeight="1" x14ac:dyDescent="0.2">
      <c r="B203" s="85"/>
      <c r="C203" s="96"/>
      <c r="D203" s="97"/>
      <c r="E203" s="88"/>
      <c r="F203" s="88"/>
      <c r="H203" s="55" t="s">
        <v>369</v>
      </c>
      <c r="I203" s="65" t="s">
        <v>386</v>
      </c>
    </row>
    <row r="204" spans="2:9" ht="14.25" customHeight="1" x14ac:dyDescent="0.2">
      <c r="B204" s="85"/>
      <c r="C204" s="96"/>
      <c r="D204" s="97"/>
      <c r="E204" s="88"/>
      <c r="F204" s="88"/>
      <c r="H204" s="55" t="s">
        <v>369</v>
      </c>
      <c r="I204" s="65" t="s">
        <v>386</v>
      </c>
    </row>
    <row r="205" spans="2:9" ht="14.25" customHeight="1" x14ac:dyDescent="0.2">
      <c r="B205" s="85"/>
      <c r="C205" s="96"/>
      <c r="D205" s="97"/>
      <c r="E205" s="88"/>
      <c r="F205" s="88"/>
      <c r="H205" s="55" t="s">
        <v>369</v>
      </c>
      <c r="I205" s="65" t="s">
        <v>386</v>
      </c>
    </row>
    <row r="206" spans="2:9" ht="14.25" customHeight="1" x14ac:dyDescent="0.2">
      <c r="B206" s="85"/>
      <c r="C206" s="96"/>
      <c r="D206" s="97"/>
      <c r="E206" s="88"/>
      <c r="F206" s="88"/>
      <c r="H206" s="55" t="s">
        <v>369</v>
      </c>
      <c r="I206" s="65" t="s">
        <v>386</v>
      </c>
    </row>
    <row r="207" spans="2:9" ht="14.25" customHeight="1" x14ac:dyDescent="0.2">
      <c r="B207" s="85"/>
      <c r="C207" s="96"/>
      <c r="D207" s="97"/>
      <c r="E207" s="88"/>
      <c r="F207" s="88"/>
      <c r="H207" s="55" t="s">
        <v>369</v>
      </c>
      <c r="I207" s="65" t="s">
        <v>386</v>
      </c>
    </row>
    <row r="208" spans="2:9" ht="14.25" customHeight="1" x14ac:dyDescent="0.2">
      <c r="B208" s="85"/>
      <c r="C208" s="96"/>
      <c r="D208" s="97"/>
      <c r="E208" s="88"/>
      <c r="F208" s="88"/>
      <c r="H208" s="55" t="s">
        <v>369</v>
      </c>
      <c r="I208" s="65" t="s">
        <v>386</v>
      </c>
    </row>
    <row r="209" spans="2:9" ht="14.25" customHeight="1" x14ac:dyDescent="0.2">
      <c r="B209" s="85"/>
      <c r="C209" s="96"/>
      <c r="D209" s="97"/>
      <c r="E209" s="88"/>
      <c r="F209" s="88"/>
      <c r="H209" s="55" t="s">
        <v>369</v>
      </c>
      <c r="I209" s="65" t="s">
        <v>386</v>
      </c>
    </row>
    <row r="210" spans="2:9" ht="14.25" customHeight="1" x14ac:dyDescent="0.2">
      <c r="B210" s="85"/>
      <c r="C210" s="96"/>
      <c r="D210" s="97"/>
      <c r="E210" s="88"/>
      <c r="F210" s="88"/>
      <c r="H210" s="55" t="s">
        <v>369</v>
      </c>
      <c r="I210" s="65" t="s">
        <v>386</v>
      </c>
    </row>
    <row r="211" spans="2:9" ht="14.25" customHeight="1" x14ac:dyDescent="0.2">
      <c r="B211" s="85"/>
      <c r="C211" s="96"/>
      <c r="D211" s="97"/>
      <c r="E211" s="88"/>
      <c r="F211" s="88"/>
      <c r="H211" s="55" t="s">
        <v>369</v>
      </c>
      <c r="I211" s="65" t="s">
        <v>386</v>
      </c>
    </row>
    <row r="212" spans="2:9" ht="14.25" customHeight="1" x14ac:dyDescent="0.2">
      <c r="B212" s="85"/>
      <c r="C212" s="96"/>
      <c r="D212" s="97"/>
      <c r="E212" s="88"/>
      <c r="F212" s="88"/>
      <c r="H212" s="55" t="s">
        <v>369</v>
      </c>
      <c r="I212" s="65" t="s">
        <v>386</v>
      </c>
    </row>
    <row r="213" spans="2:9" ht="14.25" customHeight="1" x14ac:dyDescent="0.2">
      <c r="B213" s="85"/>
      <c r="C213" s="96"/>
      <c r="D213" s="97"/>
      <c r="E213" s="88"/>
      <c r="F213" s="88"/>
      <c r="H213" s="55" t="s">
        <v>369</v>
      </c>
      <c r="I213" s="65" t="s">
        <v>387</v>
      </c>
    </row>
    <row r="214" spans="2:9" ht="14.25" customHeight="1" x14ac:dyDescent="0.2">
      <c r="B214" s="85"/>
      <c r="C214" s="96"/>
      <c r="D214" s="97"/>
      <c r="E214" s="88"/>
      <c r="F214" s="88"/>
      <c r="H214" s="55" t="s">
        <v>369</v>
      </c>
      <c r="I214" s="65" t="s">
        <v>387</v>
      </c>
    </row>
    <row r="215" spans="2:9" ht="14.25" customHeight="1" x14ac:dyDescent="0.2">
      <c r="B215" s="85"/>
      <c r="C215" s="96"/>
      <c r="D215" s="97"/>
      <c r="E215" s="88"/>
      <c r="F215" s="88"/>
      <c r="H215" s="55" t="s">
        <v>369</v>
      </c>
      <c r="I215" s="65" t="s">
        <v>387</v>
      </c>
    </row>
    <row r="216" spans="2:9" ht="14.25" customHeight="1" x14ac:dyDescent="0.2">
      <c r="B216" s="85"/>
      <c r="C216" s="96"/>
      <c r="D216" s="97"/>
      <c r="E216" s="88"/>
      <c r="F216" s="88"/>
      <c r="H216" s="55" t="s">
        <v>369</v>
      </c>
      <c r="I216" s="65" t="s">
        <v>387</v>
      </c>
    </row>
    <row r="217" spans="2:9" ht="14.25" customHeight="1" x14ac:dyDescent="0.2">
      <c r="B217" s="85"/>
      <c r="C217" s="96"/>
      <c r="D217" s="97"/>
      <c r="E217" s="88"/>
      <c r="F217" s="88"/>
      <c r="H217" s="55" t="s">
        <v>369</v>
      </c>
      <c r="I217" s="65" t="s">
        <v>387</v>
      </c>
    </row>
    <row r="218" spans="2:9" ht="14.25" customHeight="1" x14ac:dyDescent="0.2">
      <c r="B218" s="85"/>
      <c r="C218" s="96"/>
      <c r="D218" s="97"/>
      <c r="E218" s="88"/>
      <c r="F218" s="88"/>
      <c r="H218" s="55" t="s">
        <v>369</v>
      </c>
      <c r="I218" s="65" t="s">
        <v>387</v>
      </c>
    </row>
    <row r="219" spans="2:9" ht="14.25" customHeight="1" x14ac:dyDescent="0.2">
      <c r="B219" s="85"/>
      <c r="C219" s="96"/>
      <c r="D219" s="97"/>
      <c r="E219" s="88"/>
      <c r="F219" s="88"/>
      <c r="H219" s="55" t="s">
        <v>369</v>
      </c>
      <c r="I219" s="65" t="s">
        <v>387</v>
      </c>
    </row>
    <row r="220" spans="2:9" ht="14.25" customHeight="1" x14ac:dyDescent="0.2">
      <c r="B220" s="85"/>
      <c r="C220" s="96"/>
      <c r="D220" s="97"/>
      <c r="E220" s="88"/>
      <c r="F220" s="88"/>
      <c r="H220" s="55" t="s">
        <v>369</v>
      </c>
      <c r="I220" s="65" t="s">
        <v>388</v>
      </c>
    </row>
    <row r="221" spans="2:9" ht="14.25" customHeight="1" x14ac:dyDescent="0.2">
      <c r="B221" s="98"/>
      <c r="C221" s="96"/>
      <c r="D221" s="97"/>
      <c r="E221" s="88"/>
      <c r="F221" s="88"/>
      <c r="H221" s="99" t="s">
        <v>369</v>
      </c>
      <c r="I221" s="100" t="s">
        <v>389</v>
      </c>
    </row>
    <row r="222" spans="2:9" ht="14.25" customHeight="1" x14ac:dyDescent="0.2">
      <c r="B222" s="85"/>
      <c r="C222" s="96"/>
      <c r="D222" s="97"/>
      <c r="E222" s="88"/>
      <c r="F222" s="88"/>
      <c r="H222" s="55" t="s">
        <v>369</v>
      </c>
      <c r="I222" s="65" t="s">
        <v>389</v>
      </c>
    </row>
    <row r="223" spans="2:9" ht="14.25" customHeight="1" x14ac:dyDescent="0.2">
      <c r="B223" s="85"/>
      <c r="C223" s="96"/>
      <c r="D223" s="97"/>
      <c r="E223" s="88"/>
      <c r="F223" s="88"/>
      <c r="H223" s="55" t="s">
        <v>369</v>
      </c>
      <c r="I223" s="65" t="s">
        <v>389</v>
      </c>
    </row>
    <row r="224" spans="2:9" ht="14.25" customHeight="1" x14ac:dyDescent="0.2">
      <c r="B224" s="85"/>
      <c r="C224" s="96"/>
      <c r="D224" s="97"/>
      <c r="E224" s="88"/>
      <c r="F224" s="88"/>
      <c r="H224" s="55" t="s">
        <v>369</v>
      </c>
      <c r="I224" s="65" t="s">
        <v>389</v>
      </c>
    </row>
    <row r="225" spans="2:9" ht="14.25" customHeight="1" x14ac:dyDescent="0.2">
      <c r="B225" s="85"/>
      <c r="C225" s="96"/>
      <c r="D225" s="97"/>
      <c r="E225" s="88"/>
      <c r="F225" s="88"/>
      <c r="H225" s="55" t="s">
        <v>369</v>
      </c>
      <c r="I225" s="65" t="s">
        <v>389</v>
      </c>
    </row>
    <row r="226" spans="2:9" ht="14.25" customHeight="1" x14ac:dyDescent="0.2">
      <c r="B226" s="85"/>
      <c r="C226" s="96"/>
      <c r="D226" s="97"/>
      <c r="E226" s="88"/>
      <c r="F226" s="88"/>
      <c r="H226" s="55" t="s">
        <v>369</v>
      </c>
      <c r="I226" s="65"/>
    </row>
    <row r="227" spans="2:9" ht="14.25" customHeight="1" x14ac:dyDescent="0.2">
      <c r="B227" s="85"/>
      <c r="C227" s="96"/>
      <c r="D227" s="97"/>
      <c r="E227" s="88"/>
      <c r="F227" s="88"/>
      <c r="H227" s="55" t="s">
        <v>369</v>
      </c>
      <c r="I227" s="65" t="s">
        <v>390</v>
      </c>
    </row>
    <row r="228" spans="2:9" ht="14.25" customHeight="1" x14ac:dyDescent="0.2">
      <c r="B228" s="85"/>
      <c r="C228" s="96"/>
      <c r="D228" s="97"/>
      <c r="E228" s="88"/>
      <c r="F228" s="88"/>
      <c r="H228" s="55" t="s">
        <v>369</v>
      </c>
      <c r="I228" s="65" t="s">
        <v>390</v>
      </c>
    </row>
    <row r="229" spans="2:9" ht="14.25" customHeight="1" x14ac:dyDescent="0.2">
      <c r="B229" s="85"/>
      <c r="C229" s="96"/>
      <c r="D229" s="97"/>
      <c r="E229" s="88"/>
      <c r="F229" s="88"/>
      <c r="H229" s="55" t="s">
        <v>369</v>
      </c>
      <c r="I229" s="65" t="s">
        <v>390</v>
      </c>
    </row>
    <row r="230" spans="2:9" ht="14.25" customHeight="1" x14ac:dyDescent="0.2">
      <c r="B230" s="85"/>
      <c r="C230" s="96"/>
      <c r="D230" s="97"/>
      <c r="E230" s="88"/>
      <c r="F230" s="88"/>
      <c r="H230" s="55" t="s">
        <v>369</v>
      </c>
      <c r="I230" s="65" t="s">
        <v>390</v>
      </c>
    </row>
    <row r="231" spans="2:9" ht="14.25" customHeight="1" x14ac:dyDescent="0.2">
      <c r="B231" s="85"/>
      <c r="C231" s="96"/>
      <c r="D231" s="97"/>
      <c r="E231" s="88"/>
      <c r="F231" s="88"/>
      <c r="H231" s="55" t="s">
        <v>369</v>
      </c>
      <c r="I231" s="65" t="s">
        <v>390</v>
      </c>
    </row>
    <row r="232" spans="2:9" ht="14.25" customHeight="1" x14ac:dyDescent="0.2">
      <c r="B232" s="101"/>
      <c r="C232" s="102"/>
      <c r="D232" s="103"/>
      <c r="E232" s="104"/>
      <c r="F232" s="104"/>
      <c r="H232" s="55" t="s">
        <v>369</v>
      </c>
      <c r="I232" s="65" t="s">
        <v>390</v>
      </c>
    </row>
    <row r="233" spans="2:9" ht="14.25" customHeight="1" x14ac:dyDescent="0.2">
      <c r="B233" s="101"/>
      <c r="C233" s="102"/>
      <c r="D233" s="103"/>
      <c r="E233" s="104"/>
      <c r="F233" s="104"/>
      <c r="H233" s="55" t="s">
        <v>369</v>
      </c>
      <c r="I233" s="65" t="s">
        <v>390</v>
      </c>
    </row>
    <row r="234" spans="2:9" ht="14.25" customHeight="1" x14ac:dyDescent="0.2">
      <c r="B234" s="101"/>
      <c r="C234" s="102"/>
      <c r="D234" s="103"/>
      <c r="E234" s="104"/>
      <c r="F234" s="104"/>
      <c r="H234" s="55" t="s">
        <v>369</v>
      </c>
      <c r="I234" s="65" t="s">
        <v>390</v>
      </c>
    </row>
    <row r="235" spans="2:9" ht="14.25" customHeight="1" x14ac:dyDescent="0.2">
      <c r="B235" s="101"/>
      <c r="C235" s="102"/>
      <c r="D235" s="103"/>
      <c r="E235" s="104"/>
      <c r="F235" s="104"/>
      <c r="H235" s="55" t="s">
        <v>369</v>
      </c>
      <c r="I235" s="65" t="s">
        <v>390</v>
      </c>
    </row>
    <row r="236" spans="2:9" ht="14.25" customHeight="1" x14ac:dyDescent="0.2">
      <c r="B236" s="101"/>
      <c r="C236" s="102"/>
      <c r="D236" s="103"/>
      <c r="E236" s="104"/>
      <c r="F236" s="104"/>
      <c r="H236" s="55" t="s">
        <v>369</v>
      </c>
      <c r="I236" s="65" t="s">
        <v>370</v>
      </c>
    </row>
    <row r="237" spans="2:9" ht="14.25" customHeight="1" x14ac:dyDescent="0.2">
      <c r="B237" s="101"/>
      <c r="C237" s="102"/>
      <c r="D237" s="103"/>
      <c r="E237" s="104"/>
      <c r="F237" s="104"/>
      <c r="H237" s="55" t="s">
        <v>369</v>
      </c>
      <c r="I237" s="65" t="s">
        <v>370</v>
      </c>
    </row>
    <row r="238" spans="2:9" ht="14.25" customHeight="1" x14ac:dyDescent="0.2">
      <c r="B238" s="101"/>
      <c r="C238" s="102"/>
      <c r="D238" s="103"/>
      <c r="E238" s="104"/>
      <c r="F238" s="104"/>
      <c r="H238" s="55" t="s">
        <v>369</v>
      </c>
      <c r="I238" s="65" t="s">
        <v>370</v>
      </c>
    </row>
    <row r="239" spans="2:9" ht="14.25" customHeight="1" x14ac:dyDescent="0.2">
      <c r="B239" s="101"/>
      <c r="C239" s="102"/>
      <c r="D239" s="103"/>
      <c r="E239" s="104"/>
      <c r="F239" s="104"/>
      <c r="H239" s="55" t="s">
        <v>369</v>
      </c>
      <c r="I239" s="65" t="s">
        <v>370</v>
      </c>
    </row>
    <row r="240" spans="2:9" ht="14.25" customHeight="1" x14ac:dyDescent="0.2">
      <c r="B240" s="101"/>
      <c r="C240" s="102"/>
      <c r="D240" s="103"/>
      <c r="E240" s="104"/>
      <c r="F240" s="104"/>
      <c r="H240" s="55" t="s">
        <v>369</v>
      </c>
      <c r="I240" s="65" t="s">
        <v>370</v>
      </c>
    </row>
    <row r="241" spans="2:9" ht="14.25" customHeight="1" x14ac:dyDescent="0.2">
      <c r="B241" s="101"/>
      <c r="C241" s="102"/>
      <c r="D241" s="103"/>
      <c r="E241" s="104"/>
      <c r="F241" s="104"/>
      <c r="H241" s="55" t="s">
        <v>369</v>
      </c>
      <c r="I241" s="65" t="s">
        <v>370</v>
      </c>
    </row>
    <row r="242" spans="2:9" ht="14.25" customHeight="1" x14ac:dyDescent="0.2">
      <c r="B242" s="101"/>
      <c r="C242" s="102"/>
      <c r="D242" s="103"/>
      <c r="E242" s="104"/>
      <c r="F242" s="104"/>
      <c r="H242" s="55" t="s">
        <v>369</v>
      </c>
      <c r="I242" s="65" t="s">
        <v>370</v>
      </c>
    </row>
    <row r="243" spans="2:9" ht="14.25" customHeight="1" x14ac:dyDescent="0.2">
      <c r="B243" s="101"/>
      <c r="C243" s="102"/>
      <c r="D243" s="103"/>
      <c r="E243" s="104"/>
      <c r="F243" s="104"/>
      <c r="H243" s="55" t="s">
        <v>369</v>
      </c>
      <c r="I243" s="65" t="s">
        <v>370</v>
      </c>
    </row>
    <row r="244" spans="2:9" ht="14.25" customHeight="1" x14ac:dyDescent="0.2">
      <c r="B244" s="101"/>
      <c r="C244" s="102"/>
      <c r="D244" s="103"/>
      <c r="E244" s="104"/>
      <c r="F244" s="104"/>
      <c r="H244" s="55" t="s">
        <v>369</v>
      </c>
      <c r="I244" s="65" t="s">
        <v>370</v>
      </c>
    </row>
    <row r="245" spans="2:9" ht="14.25" customHeight="1" x14ac:dyDescent="0.2">
      <c r="B245" s="101"/>
      <c r="C245" s="102"/>
      <c r="D245" s="103"/>
      <c r="E245" s="104"/>
      <c r="F245" s="104"/>
      <c r="H245" s="55" t="s">
        <v>369</v>
      </c>
      <c r="I245" s="65" t="s">
        <v>370</v>
      </c>
    </row>
    <row r="246" spans="2:9" ht="14.25" customHeight="1" x14ac:dyDescent="0.2">
      <c r="B246" s="101"/>
      <c r="C246" s="102"/>
      <c r="D246" s="103"/>
      <c r="E246" s="104"/>
      <c r="F246" s="104"/>
      <c r="H246" s="55" t="s">
        <v>369</v>
      </c>
      <c r="I246" s="65" t="s">
        <v>370</v>
      </c>
    </row>
    <row r="247" spans="2:9" ht="14.25" customHeight="1" x14ac:dyDescent="0.2">
      <c r="B247" s="101"/>
      <c r="C247" s="102"/>
      <c r="D247" s="103"/>
      <c r="E247" s="104"/>
      <c r="F247" s="104"/>
      <c r="H247" s="55" t="s">
        <v>369</v>
      </c>
      <c r="I247" s="65" t="s">
        <v>380</v>
      </c>
    </row>
    <row r="248" spans="2:9" ht="14.25" customHeight="1" x14ac:dyDescent="0.2">
      <c r="B248" s="101"/>
      <c r="C248" s="102"/>
      <c r="D248" s="103"/>
      <c r="E248" s="104"/>
      <c r="F248" s="104"/>
      <c r="H248" s="55" t="s">
        <v>369</v>
      </c>
      <c r="I248" s="65" t="s">
        <v>380</v>
      </c>
    </row>
    <row r="249" spans="2:9" ht="14.25" customHeight="1" x14ac:dyDescent="0.2">
      <c r="B249" s="101"/>
      <c r="C249" s="102"/>
      <c r="D249" s="103"/>
      <c r="E249" s="104"/>
      <c r="F249" s="104"/>
      <c r="H249" s="55" t="s">
        <v>369</v>
      </c>
      <c r="I249" s="65" t="s">
        <v>380</v>
      </c>
    </row>
    <row r="250" spans="2:9" ht="14.25" customHeight="1" x14ac:dyDescent="0.2">
      <c r="B250" s="101"/>
      <c r="C250" s="102"/>
      <c r="D250" s="103"/>
      <c r="E250" s="104"/>
      <c r="F250" s="104"/>
      <c r="H250" s="55" t="s">
        <v>369</v>
      </c>
      <c r="I250" s="65" t="s">
        <v>380</v>
      </c>
    </row>
    <row r="251" spans="2:9" ht="14.25" customHeight="1" x14ac:dyDescent="0.2">
      <c r="B251" s="101"/>
      <c r="C251" s="102"/>
      <c r="D251" s="103"/>
      <c r="E251" s="104"/>
      <c r="F251" s="104"/>
      <c r="H251" s="55" t="s">
        <v>369</v>
      </c>
      <c r="I251" s="65" t="s">
        <v>380</v>
      </c>
    </row>
    <row r="252" spans="2:9" ht="14.25" customHeight="1" x14ac:dyDescent="0.2">
      <c r="B252" s="101"/>
      <c r="C252" s="102"/>
      <c r="D252" s="103"/>
      <c r="E252" s="104"/>
      <c r="F252" s="104"/>
      <c r="H252" s="55" t="s">
        <v>369</v>
      </c>
      <c r="I252" s="65" t="s">
        <v>381</v>
      </c>
    </row>
    <row r="253" spans="2:9" ht="14.25" customHeight="1" x14ac:dyDescent="0.2">
      <c r="B253" s="101"/>
      <c r="C253" s="102"/>
      <c r="D253" s="103"/>
      <c r="E253" s="104"/>
      <c r="F253" s="104"/>
      <c r="H253" s="55" t="s">
        <v>369</v>
      </c>
      <c r="I253" s="65" t="s">
        <v>381</v>
      </c>
    </row>
    <row r="254" spans="2:9" ht="14.25" customHeight="1" x14ac:dyDescent="0.2">
      <c r="B254" s="101"/>
      <c r="C254" s="102"/>
      <c r="D254" s="103"/>
      <c r="E254" s="104"/>
      <c r="F254" s="104"/>
      <c r="H254" s="55" t="s">
        <v>382</v>
      </c>
      <c r="I254" s="65" t="s">
        <v>381</v>
      </c>
    </row>
    <row r="255" spans="2:9" ht="14.25" customHeight="1" x14ac:dyDescent="0.2">
      <c r="B255" s="101"/>
      <c r="C255" s="102"/>
      <c r="D255" s="103"/>
      <c r="E255" s="104"/>
      <c r="F255" s="104"/>
      <c r="H255" s="55" t="s">
        <v>369</v>
      </c>
      <c r="I255" s="65" t="s">
        <v>381</v>
      </c>
    </row>
    <row r="256" spans="2:9" ht="14.25" customHeight="1" x14ac:dyDescent="0.2">
      <c r="B256" s="101"/>
      <c r="C256" s="102"/>
      <c r="D256" s="103"/>
      <c r="E256" s="104"/>
      <c r="F256" s="104"/>
      <c r="H256" s="55" t="s">
        <v>369</v>
      </c>
      <c r="I256" s="65" t="s">
        <v>381</v>
      </c>
    </row>
    <row r="257" spans="2:9" ht="14.25" customHeight="1" x14ac:dyDescent="0.2">
      <c r="B257" s="101"/>
      <c r="C257" s="102"/>
      <c r="D257" s="103"/>
      <c r="E257" s="104"/>
      <c r="F257" s="104"/>
      <c r="H257" s="55" t="s">
        <v>382</v>
      </c>
      <c r="I257" s="65" t="s">
        <v>381</v>
      </c>
    </row>
    <row r="258" spans="2:9" ht="14.25" customHeight="1" x14ac:dyDescent="0.2">
      <c r="B258" s="101"/>
      <c r="C258" s="102"/>
      <c r="D258" s="103"/>
      <c r="E258" s="104"/>
      <c r="F258" s="104"/>
      <c r="H258" s="55"/>
      <c r="I258" s="65"/>
    </row>
    <row r="259" spans="2:9" ht="14.25" customHeight="1" x14ac:dyDescent="0.2">
      <c r="B259" s="101"/>
      <c r="C259" s="102"/>
      <c r="D259" s="103"/>
      <c r="E259" s="104"/>
      <c r="F259" s="104"/>
      <c r="H259" s="55" t="s">
        <v>383</v>
      </c>
      <c r="I259" s="65"/>
    </row>
    <row r="260" spans="2:9" ht="14.25" customHeight="1" x14ac:dyDescent="0.2">
      <c r="B260" s="101"/>
      <c r="C260" s="102"/>
      <c r="D260" s="103"/>
      <c r="E260" s="104"/>
      <c r="F260" s="104"/>
      <c r="H260" s="55" t="s">
        <v>383</v>
      </c>
      <c r="I260" s="65" t="s">
        <v>14</v>
      </c>
    </row>
    <row r="261" spans="2:9" ht="14.25" customHeight="1" x14ac:dyDescent="0.2">
      <c r="B261" s="101"/>
      <c r="C261" s="102"/>
      <c r="D261" s="103"/>
      <c r="E261" s="104"/>
      <c r="F261" s="104"/>
      <c r="H261" s="55" t="s">
        <v>383</v>
      </c>
      <c r="I261" s="65" t="s">
        <v>14</v>
      </c>
    </row>
    <row r="262" spans="2:9" ht="14.25" customHeight="1" x14ac:dyDescent="0.2">
      <c r="B262" s="101"/>
      <c r="C262" s="102"/>
      <c r="D262" s="103"/>
      <c r="E262" s="104"/>
      <c r="F262" s="104"/>
      <c r="H262" s="55" t="s">
        <v>383</v>
      </c>
      <c r="I262" s="65" t="s">
        <v>14</v>
      </c>
    </row>
    <row r="263" spans="2:9" ht="14.25" customHeight="1" x14ac:dyDescent="0.2">
      <c r="B263" s="101"/>
      <c r="C263" s="102"/>
      <c r="D263" s="103"/>
      <c r="E263" s="104"/>
      <c r="F263" s="104"/>
      <c r="H263" s="55" t="s">
        <v>383</v>
      </c>
      <c r="I263" s="65" t="s">
        <v>14</v>
      </c>
    </row>
    <row r="264" spans="2:9" ht="14.25" customHeight="1" x14ac:dyDescent="0.2">
      <c r="B264" s="101"/>
      <c r="C264" s="102"/>
      <c r="D264" s="103"/>
      <c r="E264" s="104"/>
      <c r="F264" s="104"/>
      <c r="H264" s="55" t="s">
        <v>383</v>
      </c>
      <c r="I264" s="65" t="s">
        <v>14</v>
      </c>
    </row>
    <row r="265" spans="2:9" ht="14.25" customHeight="1" x14ac:dyDescent="0.2">
      <c r="B265" s="101"/>
      <c r="C265" s="102"/>
      <c r="D265" s="103"/>
      <c r="E265" s="104"/>
      <c r="F265" s="104"/>
      <c r="H265" s="55" t="s">
        <v>383</v>
      </c>
      <c r="I265" s="65" t="s">
        <v>391</v>
      </c>
    </row>
    <row r="266" spans="2:9" ht="14.25" customHeight="1" x14ac:dyDescent="0.2">
      <c r="B266" s="101"/>
      <c r="C266" s="102"/>
      <c r="D266" s="103"/>
      <c r="E266" s="104"/>
      <c r="F266" s="104"/>
      <c r="H266" s="55" t="s">
        <v>383</v>
      </c>
      <c r="I266" s="65" t="s">
        <v>391</v>
      </c>
    </row>
    <row r="267" spans="2:9" ht="14.25" customHeight="1" x14ac:dyDescent="0.2">
      <c r="B267" s="101"/>
      <c r="C267" s="102"/>
      <c r="D267" s="103"/>
      <c r="E267" s="104"/>
      <c r="F267" s="104"/>
      <c r="H267" s="55" t="s">
        <v>383</v>
      </c>
      <c r="I267" s="65" t="s">
        <v>14</v>
      </c>
    </row>
    <row r="268" spans="2:9" ht="14.25" customHeight="1" x14ac:dyDescent="0.2">
      <c r="B268" s="101"/>
      <c r="C268" s="102"/>
      <c r="D268" s="103"/>
      <c r="E268" s="104"/>
      <c r="F268" s="104"/>
      <c r="H268" s="55" t="s">
        <v>383</v>
      </c>
      <c r="I268" s="65"/>
    </row>
    <row r="269" spans="2:9" ht="14.25" customHeight="1" x14ac:dyDescent="0.2">
      <c r="B269" s="101"/>
      <c r="C269" s="102"/>
      <c r="D269" s="103"/>
      <c r="E269" s="104"/>
      <c r="F269" s="104"/>
      <c r="H269" s="55" t="s">
        <v>383</v>
      </c>
      <c r="I269" s="65" t="s">
        <v>392</v>
      </c>
    </row>
    <row r="270" spans="2:9" ht="14.25" customHeight="1" x14ac:dyDescent="0.2">
      <c r="B270" s="101"/>
      <c r="C270" s="102"/>
      <c r="D270" s="103"/>
      <c r="E270" s="104"/>
      <c r="F270" s="104"/>
      <c r="H270" s="55" t="s">
        <v>383</v>
      </c>
      <c r="I270" s="65" t="s">
        <v>392</v>
      </c>
    </row>
    <row r="271" spans="2:9" ht="14.25" customHeight="1" x14ac:dyDescent="0.2">
      <c r="B271" s="101"/>
      <c r="C271" s="102"/>
      <c r="D271" s="103"/>
      <c r="E271" s="104"/>
      <c r="F271" s="104"/>
      <c r="H271" s="55" t="s">
        <v>383</v>
      </c>
      <c r="I271" s="65" t="s">
        <v>393</v>
      </c>
    </row>
    <row r="272" spans="2:9" ht="14.25" customHeight="1" x14ac:dyDescent="0.2">
      <c r="B272" s="101"/>
      <c r="C272" s="102"/>
      <c r="D272" s="103"/>
      <c r="E272" s="104"/>
      <c r="F272" s="104"/>
      <c r="H272" s="55" t="s">
        <v>383</v>
      </c>
      <c r="I272" s="65" t="s">
        <v>393</v>
      </c>
    </row>
    <row r="273" spans="2:9" ht="14.25" customHeight="1" x14ac:dyDescent="0.2">
      <c r="B273" s="101"/>
      <c r="C273" s="102"/>
      <c r="D273" s="103"/>
      <c r="E273" s="104"/>
      <c r="F273" s="104"/>
      <c r="H273" s="55" t="s">
        <v>369</v>
      </c>
      <c r="I273" s="65"/>
    </row>
    <row r="274" spans="2:9" ht="14.25" customHeight="1" x14ac:dyDescent="0.2">
      <c r="B274" s="101"/>
      <c r="C274" s="102"/>
      <c r="D274" s="103"/>
      <c r="E274" s="104"/>
      <c r="F274" s="104"/>
      <c r="H274" s="55" t="s">
        <v>369</v>
      </c>
      <c r="I274" s="65" t="s">
        <v>336</v>
      </c>
    </row>
    <row r="275" spans="2:9" ht="14.25" customHeight="1" x14ac:dyDescent="0.2">
      <c r="B275" s="101"/>
      <c r="C275" s="102"/>
      <c r="D275" s="103"/>
      <c r="E275" s="104"/>
      <c r="F275" s="104"/>
      <c r="H275" s="55" t="s">
        <v>369</v>
      </c>
      <c r="I275" s="65" t="s">
        <v>336</v>
      </c>
    </row>
    <row r="276" spans="2:9" ht="14.25" customHeight="1" x14ac:dyDescent="0.2">
      <c r="B276" s="101"/>
      <c r="C276" s="102"/>
      <c r="D276" s="103"/>
      <c r="E276" s="104"/>
      <c r="F276" s="104"/>
      <c r="H276" s="55" t="s">
        <v>369</v>
      </c>
      <c r="I276" s="65" t="s">
        <v>336</v>
      </c>
    </row>
    <row r="277" spans="2:9" ht="14.25" customHeight="1" x14ac:dyDescent="0.2">
      <c r="B277" s="101"/>
      <c r="C277" s="102"/>
      <c r="D277" s="103"/>
      <c r="E277" s="104"/>
      <c r="F277" s="104"/>
      <c r="H277" s="55" t="s">
        <v>369</v>
      </c>
      <c r="I277" s="65" t="s">
        <v>336</v>
      </c>
    </row>
    <row r="278" spans="2:9" ht="14.25" customHeight="1" x14ac:dyDescent="0.2">
      <c r="B278" s="101"/>
      <c r="C278" s="102"/>
      <c r="D278" s="103"/>
      <c r="E278" s="104"/>
      <c r="F278" s="104"/>
      <c r="H278" s="55" t="s">
        <v>369</v>
      </c>
      <c r="I278" s="65" t="s">
        <v>384</v>
      </c>
    </row>
    <row r="279" spans="2:9" ht="14.25" customHeight="1" x14ac:dyDescent="0.2">
      <c r="B279" s="101"/>
      <c r="C279" s="102"/>
      <c r="D279" s="103"/>
      <c r="E279" s="104"/>
      <c r="F279" s="104"/>
      <c r="H279" s="55" t="s">
        <v>369</v>
      </c>
      <c r="I279" s="65" t="s">
        <v>384</v>
      </c>
    </row>
    <row r="280" spans="2:9" ht="14.25" customHeight="1" x14ac:dyDescent="0.2">
      <c r="B280" s="101"/>
      <c r="C280" s="102"/>
      <c r="D280" s="103"/>
      <c r="E280" s="104"/>
      <c r="F280" s="104"/>
      <c r="H280" s="55" t="s">
        <v>369</v>
      </c>
      <c r="I280" s="65" t="s">
        <v>384</v>
      </c>
    </row>
    <row r="281" spans="2:9" ht="14.25" customHeight="1" x14ac:dyDescent="0.2">
      <c r="B281" s="101"/>
      <c r="C281" s="102"/>
      <c r="D281" s="103"/>
      <c r="E281" s="104"/>
      <c r="F281" s="104"/>
      <c r="H281" s="55" t="s">
        <v>369</v>
      </c>
      <c r="I281" s="65" t="s">
        <v>384</v>
      </c>
    </row>
    <row r="282" spans="2:9" ht="14.25" customHeight="1" x14ac:dyDescent="0.2">
      <c r="B282" s="101"/>
      <c r="C282" s="102"/>
      <c r="D282" s="103"/>
      <c r="E282" s="104"/>
      <c r="F282" s="104"/>
      <c r="H282" s="55" t="s">
        <v>369</v>
      </c>
      <c r="I282" s="65" t="s">
        <v>384</v>
      </c>
    </row>
    <row r="283" spans="2:9" ht="14.25" customHeight="1" x14ac:dyDescent="0.2">
      <c r="B283" s="101"/>
      <c r="C283" s="102"/>
      <c r="D283" s="103"/>
      <c r="E283" s="104"/>
      <c r="F283" s="104"/>
      <c r="H283" s="55" t="s">
        <v>369</v>
      </c>
      <c r="I283" s="65" t="s">
        <v>384</v>
      </c>
    </row>
    <row r="284" spans="2:9" ht="14.25" customHeight="1" x14ac:dyDescent="0.2">
      <c r="B284" s="101"/>
      <c r="C284" s="102"/>
      <c r="D284" s="103"/>
      <c r="E284" s="104"/>
      <c r="F284" s="104"/>
      <c r="H284" s="55" t="s">
        <v>369</v>
      </c>
      <c r="I284" s="65" t="s">
        <v>384</v>
      </c>
    </row>
    <row r="285" spans="2:9" ht="14.25" customHeight="1" x14ac:dyDescent="0.2">
      <c r="B285" s="101"/>
      <c r="C285" s="102"/>
      <c r="D285" s="103"/>
      <c r="E285" s="104"/>
      <c r="F285" s="104"/>
      <c r="H285" s="55" t="s">
        <v>369</v>
      </c>
      <c r="I285" s="65" t="s">
        <v>384</v>
      </c>
    </row>
    <row r="286" spans="2:9" ht="14.25" customHeight="1" x14ac:dyDescent="0.2">
      <c r="B286" s="101"/>
      <c r="C286" s="102"/>
      <c r="D286" s="103"/>
      <c r="E286" s="104"/>
      <c r="F286" s="104"/>
      <c r="H286" s="55" t="s">
        <v>369</v>
      </c>
      <c r="I286" s="65" t="s">
        <v>384</v>
      </c>
    </row>
    <row r="287" spans="2:9" ht="14.25" customHeight="1" x14ac:dyDescent="0.2">
      <c r="B287" s="101"/>
      <c r="C287" s="102"/>
      <c r="D287" s="103"/>
      <c r="E287" s="104"/>
      <c r="F287" s="104"/>
      <c r="H287" s="55" t="s">
        <v>369</v>
      </c>
      <c r="I287" s="65" t="s">
        <v>384</v>
      </c>
    </row>
    <row r="288" spans="2:9" ht="14.25" customHeight="1" x14ac:dyDescent="0.2">
      <c r="B288" s="101"/>
      <c r="C288" s="102"/>
      <c r="D288" s="103"/>
      <c r="E288" s="104"/>
      <c r="F288" s="104"/>
      <c r="H288" s="55" t="s">
        <v>369</v>
      </c>
      <c r="I288" s="65" t="s">
        <v>384</v>
      </c>
    </row>
    <row r="289" spans="2:9" ht="14.25" customHeight="1" x14ac:dyDescent="0.2">
      <c r="B289" s="101"/>
      <c r="C289" s="102"/>
      <c r="D289" s="103"/>
      <c r="E289" s="104"/>
      <c r="F289" s="104"/>
      <c r="H289" s="55" t="s">
        <v>369</v>
      </c>
      <c r="I289" s="65" t="s">
        <v>384</v>
      </c>
    </row>
    <row r="290" spans="2:9" ht="14.25" customHeight="1" x14ac:dyDescent="0.2">
      <c r="B290" s="101"/>
      <c r="C290" s="102"/>
      <c r="D290" s="103"/>
      <c r="E290" s="104"/>
      <c r="F290" s="104"/>
      <c r="H290" s="55" t="s">
        <v>369</v>
      </c>
      <c r="I290" s="65" t="s">
        <v>384</v>
      </c>
    </row>
    <row r="291" spans="2:9" ht="14.25" customHeight="1" x14ac:dyDescent="0.2">
      <c r="B291" s="101"/>
      <c r="C291" s="102"/>
      <c r="D291" s="103"/>
      <c r="E291" s="104"/>
      <c r="F291" s="104"/>
      <c r="H291" s="55" t="s">
        <v>369</v>
      </c>
      <c r="I291" s="65" t="s">
        <v>384</v>
      </c>
    </row>
    <row r="292" spans="2:9" ht="14.25" customHeight="1" x14ac:dyDescent="0.2">
      <c r="B292" s="101"/>
      <c r="C292" s="102"/>
      <c r="D292" s="103"/>
      <c r="E292" s="104"/>
      <c r="F292" s="104"/>
      <c r="H292" s="55" t="s">
        <v>369</v>
      </c>
      <c r="I292" s="65" t="s">
        <v>384</v>
      </c>
    </row>
    <row r="293" spans="2:9" ht="14.25" customHeight="1" x14ac:dyDescent="0.2">
      <c r="B293" s="105"/>
      <c r="C293" s="102"/>
      <c r="D293" s="103"/>
      <c r="E293" s="104"/>
      <c r="F293" s="104"/>
      <c r="H293" s="99" t="s">
        <v>369</v>
      </c>
      <c r="I293" s="100" t="s">
        <v>384</v>
      </c>
    </row>
    <row r="294" spans="2:9" ht="14.25" customHeight="1" x14ac:dyDescent="0.2">
      <c r="B294" s="101"/>
      <c r="C294" s="102"/>
      <c r="D294" s="103"/>
      <c r="E294" s="104"/>
      <c r="F294" s="104"/>
      <c r="H294" s="55" t="s">
        <v>369</v>
      </c>
      <c r="I294" s="65" t="s">
        <v>385</v>
      </c>
    </row>
    <row r="295" spans="2:9" ht="14.25" customHeight="1" x14ac:dyDescent="0.2">
      <c r="B295" s="101"/>
      <c r="C295" s="102"/>
      <c r="D295" s="103"/>
      <c r="E295" s="104"/>
      <c r="F295" s="104"/>
      <c r="H295" s="55" t="s">
        <v>369</v>
      </c>
      <c r="I295" s="65" t="s">
        <v>385</v>
      </c>
    </row>
    <row r="296" spans="2:9" ht="14.25" customHeight="1" x14ac:dyDescent="0.2">
      <c r="B296" s="101"/>
      <c r="C296" s="102"/>
      <c r="D296" s="103"/>
      <c r="E296" s="104"/>
      <c r="F296" s="104"/>
      <c r="H296" s="55" t="s">
        <v>369</v>
      </c>
      <c r="I296" s="65" t="s">
        <v>385</v>
      </c>
    </row>
    <row r="297" spans="2:9" ht="14.25" customHeight="1" x14ac:dyDescent="0.2">
      <c r="B297" s="101"/>
      <c r="C297" s="102"/>
      <c r="D297" s="103"/>
      <c r="E297" s="104"/>
      <c r="F297" s="104"/>
      <c r="H297" s="55" t="s">
        <v>369</v>
      </c>
      <c r="I297" s="65" t="s">
        <v>385</v>
      </c>
    </row>
    <row r="298" spans="2:9" ht="14.25" customHeight="1" x14ac:dyDescent="0.2">
      <c r="B298" s="101"/>
      <c r="C298" s="102"/>
      <c r="D298" s="103"/>
      <c r="E298" s="104"/>
      <c r="F298" s="104"/>
      <c r="H298" s="55" t="s">
        <v>369</v>
      </c>
      <c r="I298" s="65" t="s">
        <v>385</v>
      </c>
    </row>
    <row r="299" spans="2:9" ht="14.25" customHeight="1" x14ac:dyDescent="0.2">
      <c r="B299" s="101"/>
      <c r="C299" s="102"/>
      <c r="D299" s="103"/>
      <c r="E299" s="104"/>
      <c r="F299" s="104"/>
      <c r="H299" s="55" t="s">
        <v>369</v>
      </c>
      <c r="I299" s="65" t="s">
        <v>385</v>
      </c>
    </row>
    <row r="300" spans="2:9" ht="14.25" customHeight="1" x14ac:dyDescent="0.2">
      <c r="B300" s="101"/>
      <c r="C300" s="102"/>
      <c r="D300" s="103"/>
      <c r="E300" s="104"/>
      <c r="F300" s="104"/>
      <c r="H300" s="55" t="s">
        <v>369</v>
      </c>
      <c r="I300" s="65" t="s">
        <v>385</v>
      </c>
    </row>
    <row r="301" spans="2:9" ht="14.25" customHeight="1" x14ac:dyDescent="0.2">
      <c r="B301" s="101"/>
      <c r="C301" s="102"/>
      <c r="D301" s="103"/>
      <c r="E301" s="104"/>
      <c r="F301" s="104"/>
      <c r="H301" s="55" t="s">
        <v>369</v>
      </c>
      <c r="I301" s="65" t="s">
        <v>385</v>
      </c>
    </row>
    <row r="302" spans="2:9" ht="14.25" customHeight="1" x14ac:dyDescent="0.2">
      <c r="B302" s="101"/>
      <c r="C302" s="102"/>
      <c r="D302" s="103"/>
      <c r="E302" s="104"/>
      <c r="F302" s="104"/>
      <c r="H302" s="55" t="s">
        <v>369</v>
      </c>
      <c r="I302" s="65" t="s">
        <v>385</v>
      </c>
    </row>
    <row r="303" spans="2:9" ht="14.25" customHeight="1" x14ac:dyDescent="0.2">
      <c r="B303" s="101"/>
      <c r="C303" s="102"/>
      <c r="D303" s="103"/>
      <c r="E303" s="104"/>
      <c r="F303" s="104"/>
      <c r="H303" s="55" t="s">
        <v>369</v>
      </c>
      <c r="I303" s="65" t="s">
        <v>385</v>
      </c>
    </row>
    <row r="304" spans="2:9" ht="14.25" customHeight="1" x14ac:dyDescent="0.2">
      <c r="B304" s="101"/>
      <c r="C304" s="102"/>
      <c r="D304" s="103"/>
      <c r="E304" s="104"/>
      <c r="F304" s="104"/>
      <c r="H304" s="55" t="s">
        <v>369</v>
      </c>
      <c r="I304" s="65" t="s">
        <v>385</v>
      </c>
    </row>
    <row r="305" spans="2:9" ht="14.25" customHeight="1" x14ac:dyDescent="0.2">
      <c r="B305" s="101"/>
      <c r="C305" s="102"/>
      <c r="D305" s="103"/>
      <c r="E305" s="104"/>
      <c r="F305" s="104"/>
      <c r="H305" s="55" t="s">
        <v>369</v>
      </c>
      <c r="I305" s="65" t="s">
        <v>385</v>
      </c>
    </row>
    <row r="306" spans="2:9" ht="14.25" customHeight="1" x14ac:dyDescent="0.2">
      <c r="B306" s="101"/>
      <c r="C306" s="102"/>
      <c r="D306" s="103"/>
      <c r="E306" s="104"/>
      <c r="F306" s="104"/>
      <c r="H306" s="55" t="s">
        <v>369</v>
      </c>
      <c r="I306" s="65" t="s">
        <v>385</v>
      </c>
    </row>
    <row r="307" spans="2:9" ht="14.25" customHeight="1" x14ac:dyDescent="0.2">
      <c r="B307" s="101"/>
      <c r="C307" s="102"/>
      <c r="D307" s="103"/>
      <c r="E307" s="104"/>
      <c r="F307" s="104"/>
      <c r="H307" s="55" t="s">
        <v>369</v>
      </c>
      <c r="I307" s="65" t="s">
        <v>385</v>
      </c>
    </row>
    <row r="308" spans="2:9" ht="14.25" customHeight="1" x14ac:dyDescent="0.2">
      <c r="B308" s="101"/>
      <c r="C308" s="102"/>
      <c r="D308" s="103"/>
      <c r="E308" s="104"/>
      <c r="F308" s="104"/>
      <c r="H308" s="55" t="s">
        <v>369</v>
      </c>
      <c r="I308" s="65" t="s">
        <v>174</v>
      </c>
    </row>
    <row r="309" spans="2:9" ht="14.25" customHeight="1" x14ac:dyDescent="0.2">
      <c r="B309" s="101"/>
      <c r="C309" s="102"/>
      <c r="D309" s="103"/>
      <c r="E309" s="104"/>
      <c r="F309" s="104"/>
      <c r="H309" s="55" t="s">
        <v>369</v>
      </c>
      <c r="I309" s="65" t="s">
        <v>174</v>
      </c>
    </row>
    <row r="310" spans="2:9" ht="14.25" customHeight="1" x14ac:dyDescent="0.2">
      <c r="B310" s="101"/>
      <c r="C310" s="102"/>
      <c r="D310" s="103"/>
      <c r="E310" s="104"/>
      <c r="F310" s="104"/>
      <c r="H310" s="55" t="s">
        <v>369</v>
      </c>
      <c r="I310" s="65" t="s">
        <v>174</v>
      </c>
    </row>
    <row r="311" spans="2:9" ht="14.25" customHeight="1" x14ac:dyDescent="0.2">
      <c r="B311" s="101"/>
      <c r="C311" s="102"/>
      <c r="D311" s="103"/>
      <c r="E311" s="104"/>
      <c r="F311" s="104"/>
      <c r="H311" s="55" t="s">
        <v>369</v>
      </c>
      <c r="I311" s="65" t="s">
        <v>174</v>
      </c>
    </row>
    <row r="312" spans="2:9" ht="14.25" customHeight="1" x14ac:dyDescent="0.2">
      <c r="B312" s="101"/>
      <c r="C312" s="102"/>
      <c r="D312" s="103"/>
      <c r="E312" s="104"/>
      <c r="F312" s="104"/>
      <c r="H312" s="55" t="s">
        <v>369</v>
      </c>
      <c r="I312" s="65" t="s">
        <v>174</v>
      </c>
    </row>
    <row r="313" spans="2:9" ht="14.25" customHeight="1" x14ac:dyDescent="0.2">
      <c r="B313" s="101"/>
      <c r="C313" s="102"/>
      <c r="D313" s="103"/>
      <c r="E313" s="104"/>
      <c r="F313" s="104"/>
      <c r="H313" s="55" t="s">
        <v>369</v>
      </c>
      <c r="I313" s="65" t="s">
        <v>174</v>
      </c>
    </row>
    <row r="314" spans="2:9" ht="14.25" customHeight="1" x14ac:dyDescent="0.2">
      <c r="B314" s="101"/>
      <c r="C314" s="102"/>
      <c r="D314" s="103"/>
      <c r="E314" s="104"/>
      <c r="F314" s="104"/>
      <c r="H314" s="55" t="s">
        <v>369</v>
      </c>
      <c r="I314" s="65" t="s">
        <v>174</v>
      </c>
    </row>
    <row r="315" spans="2:9" ht="14.25" customHeight="1" x14ac:dyDescent="0.2">
      <c r="B315" s="101"/>
      <c r="C315" s="102"/>
      <c r="D315" s="103"/>
      <c r="E315" s="104"/>
      <c r="F315" s="104"/>
      <c r="H315" s="55" t="s">
        <v>369</v>
      </c>
      <c r="I315" s="65" t="s">
        <v>174</v>
      </c>
    </row>
    <row r="316" spans="2:9" ht="14.25" customHeight="1" x14ac:dyDescent="0.2">
      <c r="B316" s="101"/>
      <c r="C316" s="102"/>
      <c r="D316" s="103"/>
      <c r="E316" s="104"/>
      <c r="F316" s="104"/>
      <c r="H316" s="55" t="s">
        <v>369</v>
      </c>
      <c r="I316" s="65" t="s">
        <v>174</v>
      </c>
    </row>
    <row r="317" spans="2:9" ht="14.25" customHeight="1" x14ac:dyDescent="0.2">
      <c r="B317" s="101"/>
      <c r="C317" s="102"/>
      <c r="D317" s="103"/>
      <c r="E317" s="104"/>
      <c r="F317" s="104"/>
      <c r="H317" s="55" t="s">
        <v>369</v>
      </c>
      <c r="I317" s="65" t="s">
        <v>174</v>
      </c>
    </row>
    <row r="318" spans="2:9" ht="14.25" customHeight="1" x14ac:dyDescent="0.2">
      <c r="B318" s="101"/>
      <c r="C318" s="102"/>
      <c r="D318" s="103"/>
      <c r="E318" s="104"/>
      <c r="F318" s="104"/>
      <c r="H318" s="55" t="s">
        <v>369</v>
      </c>
      <c r="I318" s="65" t="s">
        <v>174</v>
      </c>
    </row>
    <row r="319" spans="2:9" ht="14.25" customHeight="1" x14ac:dyDescent="0.2">
      <c r="B319" s="101"/>
      <c r="C319" s="102"/>
      <c r="D319" s="103"/>
      <c r="E319" s="104"/>
      <c r="F319" s="104"/>
      <c r="H319" s="55" t="s">
        <v>369</v>
      </c>
      <c r="I319" s="65" t="s">
        <v>174</v>
      </c>
    </row>
    <row r="320" spans="2:9" ht="14.25" customHeight="1" x14ac:dyDescent="0.2">
      <c r="B320" s="101"/>
      <c r="C320" s="102"/>
      <c r="D320" s="103"/>
      <c r="E320" s="104"/>
      <c r="F320" s="104"/>
      <c r="H320" s="55" t="s">
        <v>369</v>
      </c>
      <c r="I320" s="65" t="s">
        <v>174</v>
      </c>
    </row>
    <row r="321" spans="2:9" ht="14.25" customHeight="1" x14ac:dyDescent="0.2">
      <c r="B321" s="101"/>
      <c r="C321" s="102"/>
      <c r="D321" s="103"/>
      <c r="E321" s="104"/>
      <c r="F321" s="104"/>
      <c r="H321" s="55" t="s">
        <v>369</v>
      </c>
      <c r="I321" s="65" t="s">
        <v>386</v>
      </c>
    </row>
    <row r="322" spans="2:9" ht="14.25" customHeight="1" x14ac:dyDescent="0.2">
      <c r="B322" s="101"/>
      <c r="C322" s="102"/>
      <c r="D322" s="103"/>
      <c r="E322" s="104"/>
      <c r="F322" s="104"/>
      <c r="H322" s="55" t="s">
        <v>369</v>
      </c>
      <c r="I322" s="65" t="s">
        <v>386</v>
      </c>
    </row>
    <row r="323" spans="2:9" ht="14.25" customHeight="1" x14ac:dyDescent="0.2">
      <c r="B323" s="101"/>
      <c r="C323" s="102"/>
      <c r="D323" s="103"/>
      <c r="E323" s="104"/>
      <c r="F323" s="104"/>
      <c r="H323" s="55" t="s">
        <v>369</v>
      </c>
      <c r="I323" s="65" t="s">
        <v>386</v>
      </c>
    </row>
    <row r="324" spans="2:9" ht="14.25" customHeight="1" x14ac:dyDescent="0.2">
      <c r="B324" s="101"/>
      <c r="C324" s="102"/>
      <c r="D324" s="103"/>
      <c r="E324" s="104"/>
      <c r="F324" s="104"/>
      <c r="H324" s="55" t="s">
        <v>369</v>
      </c>
      <c r="I324" s="65" t="s">
        <v>386</v>
      </c>
    </row>
    <row r="325" spans="2:9" ht="14.25" customHeight="1" x14ac:dyDescent="0.2">
      <c r="B325" s="101"/>
      <c r="C325" s="102"/>
      <c r="D325" s="103"/>
      <c r="E325" s="104"/>
      <c r="F325" s="104"/>
      <c r="H325" s="55" t="s">
        <v>369</v>
      </c>
      <c r="I325" s="65" t="s">
        <v>386</v>
      </c>
    </row>
    <row r="326" spans="2:9" ht="14.25" customHeight="1" x14ac:dyDescent="0.2">
      <c r="B326" s="101"/>
      <c r="C326" s="102"/>
      <c r="D326" s="103"/>
      <c r="E326" s="104"/>
      <c r="F326" s="104"/>
      <c r="H326" s="55" t="s">
        <v>369</v>
      </c>
      <c r="I326" s="65" t="s">
        <v>386</v>
      </c>
    </row>
    <row r="327" spans="2:9" ht="14.25" customHeight="1" x14ac:dyDescent="0.2">
      <c r="B327" s="101"/>
      <c r="C327" s="102"/>
      <c r="D327" s="103"/>
      <c r="E327" s="104"/>
      <c r="F327" s="104"/>
      <c r="H327" s="55" t="s">
        <v>369</v>
      </c>
      <c r="I327" s="65" t="s">
        <v>386</v>
      </c>
    </row>
    <row r="328" spans="2:9" ht="14.25" customHeight="1" x14ac:dyDescent="0.2">
      <c r="B328" s="101"/>
      <c r="C328" s="102"/>
      <c r="D328" s="103"/>
      <c r="E328" s="104"/>
      <c r="F328" s="104"/>
      <c r="H328" s="55" t="s">
        <v>369</v>
      </c>
      <c r="I328" s="65" t="s">
        <v>386</v>
      </c>
    </row>
    <row r="329" spans="2:9" ht="14.25" customHeight="1" x14ac:dyDescent="0.2">
      <c r="B329" s="101"/>
      <c r="C329" s="102"/>
      <c r="D329" s="103"/>
      <c r="E329" s="104"/>
      <c r="F329" s="104"/>
      <c r="H329" s="55" t="s">
        <v>369</v>
      </c>
      <c r="I329" s="65" t="s">
        <v>386</v>
      </c>
    </row>
    <row r="330" spans="2:9" ht="14.25" customHeight="1" x14ac:dyDescent="0.2">
      <c r="B330" s="101"/>
      <c r="C330" s="102"/>
      <c r="D330" s="103"/>
      <c r="E330" s="104"/>
      <c r="F330" s="104"/>
      <c r="H330" s="55" t="s">
        <v>369</v>
      </c>
      <c r="I330" s="65" t="s">
        <v>386</v>
      </c>
    </row>
    <row r="331" spans="2:9" ht="14.25" customHeight="1" x14ac:dyDescent="0.2">
      <c r="B331" s="101"/>
      <c r="C331" s="102"/>
      <c r="D331" s="103"/>
      <c r="E331" s="104"/>
      <c r="F331" s="104"/>
      <c r="H331" s="55" t="s">
        <v>369</v>
      </c>
      <c r="I331" s="65" t="s">
        <v>386</v>
      </c>
    </row>
    <row r="332" spans="2:9" ht="14.25" customHeight="1" x14ac:dyDescent="0.2">
      <c r="B332" s="101"/>
      <c r="C332" s="102"/>
      <c r="D332" s="103"/>
      <c r="E332" s="104"/>
      <c r="F332" s="104"/>
      <c r="H332" s="55" t="s">
        <v>369</v>
      </c>
      <c r="I332" s="65" t="s">
        <v>386</v>
      </c>
    </row>
    <row r="333" spans="2:9" ht="14.25" customHeight="1" x14ac:dyDescent="0.2">
      <c r="B333" s="101"/>
      <c r="C333" s="102"/>
      <c r="D333" s="103"/>
      <c r="E333" s="104"/>
      <c r="F333" s="104"/>
      <c r="H333" s="55" t="s">
        <v>369</v>
      </c>
      <c r="I333" s="65" t="s">
        <v>386</v>
      </c>
    </row>
    <row r="334" spans="2:9" ht="14.25" customHeight="1" x14ac:dyDescent="0.2">
      <c r="B334" s="101"/>
      <c r="C334" s="102"/>
      <c r="D334" s="103"/>
      <c r="E334" s="104"/>
      <c r="F334" s="104"/>
      <c r="H334" s="55" t="s">
        <v>369</v>
      </c>
      <c r="I334" s="65" t="s">
        <v>386</v>
      </c>
    </row>
    <row r="335" spans="2:9" ht="14.25" customHeight="1" x14ac:dyDescent="0.2">
      <c r="B335" s="101"/>
      <c r="C335" s="102"/>
      <c r="D335" s="103"/>
      <c r="E335" s="104"/>
      <c r="F335" s="104"/>
      <c r="H335" s="55" t="s">
        <v>369</v>
      </c>
      <c r="I335" s="65" t="s">
        <v>387</v>
      </c>
    </row>
    <row r="336" spans="2:9" ht="14.25" customHeight="1" x14ac:dyDescent="0.2">
      <c r="B336" s="101"/>
      <c r="C336" s="102"/>
      <c r="D336" s="103"/>
      <c r="E336" s="104"/>
      <c r="F336" s="104"/>
      <c r="H336" s="55" t="s">
        <v>369</v>
      </c>
      <c r="I336" s="65" t="s">
        <v>387</v>
      </c>
    </row>
    <row r="337" spans="2:9" ht="14.25" customHeight="1" x14ac:dyDescent="0.2">
      <c r="B337" s="101"/>
      <c r="C337" s="102"/>
      <c r="D337" s="103"/>
      <c r="E337" s="104"/>
      <c r="F337" s="104"/>
      <c r="H337" s="55" t="s">
        <v>369</v>
      </c>
      <c r="I337" s="65" t="s">
        <v>387</v>
      </c>
    </row>
    <row r="338" spans="2:9" ht="14.25" customHeight="1" x14ac:dyDescent="0.2">
      <c r="B338" s="101"/>
      <c r="C338" s="102"/>
      <c r="D338" s="103"/>
      <c r="E338" s="104"/>
      <c r="F338" s="104"/>
      <c r="H338" s="55" t="s">
        <v>369</v>
      </c>
      <c r="I338" s="65" t="s">
        <v>387</v>
      </c>
    </row>
    <row r="339" spans="2:9" ht="14.25" customHeight="1" x14ac:dyDescent="0.2">
      <c r="B339" s="101"/>
      <c r="C339" s="102"/>
      <c r="D339" s="103"/>
      <c r="E339" s="104"/>
      <c r="F339" s="104"/>
      <c r="H339" s="55" t="s">
        <v>369</v>
      </c>
      <c r="I339" s="65" t="s">
        <v>387</v>
      </c>
    </row>
    <row r="340" spans="2:9" ht="14.25" customHeight="1" x14ac:dyDescent="0.2">
      <c r="B340" s="101"/>
      <c r="C340" s="102"/>
      <c r="D340" s="103"/>
      <c r="E340" s="104"/>
      <c r="F340" s="104"/>
      <c r="H340" s="55" t="s">
        <v>369</v>
      </c>
      <c r="I340" s="65" t="s">
        <v>387</v>
      </c>
    </row>
    <row r="341" spans="2:9" ht="14.25" customHeight="1" x14ac:dyDescent="0.2">
      <c r="B341" s="101"/>
      <c r="C341" s="102"/>
      <c r="D341" s="103"/>
      <c r="E341" s="104"/>
      <c r="F341" s="104"/>
      <c r="H341" s="55" t="s">
        <v>369</v>
      </c>
      <c r="I341" s="65" t="s">
        <v>388</v>
      </c>
    </row>
    <row r="342" spans="2:9" ht="14.25" customHeight="1" x14ac:dyDescent="0.2">
      <c r="B342" s="101"/>
      <c r="C342" s="102"/>
      <c r="D342" s="103"/>
      <c r="E342" s="104"/>
      <c r="F342" s="104"/>
      <c r="H342" s="55" t="s">
        <v>369</v>
      </c>
      <c r="I342" s="65" t="s">
        <v>388</v>
      </c>
    </row>
    <row r="343" spans="2:9" ht="14.25" customHeight="1" x14ac:dyDescent="0.2">
      <c r="B343" s="105"/>
      <c r="C343" s="102"/>
      <c r="D343" s="103"/>
      <c r="E343" s="104"/>
      <c r="F343" s="104"/>
      <c r="H343" s="99" t="s">
        <v>369</v>
      </c>
      <c r="I343" s="100" t="s">
        <v>389</v>
      </c>
    </row>
    <row r="344" spans="2:9" ht="14.25" customHeight="1" x14ac:dyDescent="0.2">
      <c r="B344" s="101"/>
      <c r="C344" s="102"/>
      <c r="D344" s="103"/>
      <c r="E344" s="104"/>
      <c r="F344" s="104"/>
      <c r="H344" s="55" t="s">
        <v>369</v>
      </c>
      <c r="I344" s="65" t="s">
        <v>389</v>
      </c>
    </row>
    <row r="345" spans="2:9" ht="14.25" customHeight="1" x14ac:dyDescent="0.2">
      <c r="B345" s="101"/>
      <c r="C345" s="102"/>
      <c r="D345" s="103"/>
      <c r="E345" s="104"/>
      <c r="F345" s="104"/>
      <c r="H345" s="55" t="s">
        <v>369</v>
      </c>
      <c r="I345" s="65" t="s">
        <v>389</v>
      </c>
    </row>
    <row r="346" spans="2:9" ht="14.25" customHeight="1" x14ac:dyDescent="0.2">
      <c r="B346" s="101"/>
      <c r="C346" s="102"/>
      <c r="D346" s="103"/>
      <c r="E346" s="104"/>
      <c r="F346" s="104"/>
      <c r="H346" s="55" t="s">
        <v>369</v>
      </c>
      <c r="I346" s="65" t="s">
        <v>389</v>
      </c>
    </row>
    <row r="347" spans="2:9" ht="14.25" customHeight="1" x14ac:dyDescent="0.2">
      <c r="B347" s="101"/>
      <c r="C347" s="102"/>
      <c r="D347" s="103"/>
      <c r="E347" s="104"/>
      <c r="F347" s="104"/>
      <c r="H347" s="55" t="s">
        <v>369</v>
      </c>
      <c r="I347" s="65" t="s">
        <v>389</v>
      </c>
    </row>
    <row r="348" spans="2:9" ht="14.25" customHeight="1" x14ac:dyDescent="0.2">
      <c r="B348" s="101"/>
      <c r="C348" s="102"/>
      <c r="D348" s="103"/>
      <c r="E348" s="104"/>
      <c r="F348" s="104"/>
      <c r="H348" s="55" t="s">
        <v>369</v>
      </c>
      <c r="I348" s="65"/>
    </row>
    <row r="349" spans="2:9" ht="14.25" customHeight="1" x14ac:dyDescent="0.2">
      <c r="B349" s="101"/>
      <c r="C349" s="102"/>
      <c r="D349" s="103"/>
      <c r="E349" s="104"/>
      <c r="F349" s="104"/>
      <c r="H349" s="55" t="s">
        <v>369</v>
      </c>
      <c r="I349" s="65" t="s">
        <v>390</v>
      </c>
    </row>
    <row r="350" spans="2:9" ht="14.25" customHeight="1" x14ac:dyDescent="0.2">
      <c r="B350" s="101"/>
      <c r="C350" s="102"/>
      <c r="D350" s="103"/>
      <c r="E350" s="104"/>
      <c r="F350" s="104"/>
      <c r="H350" s="55" t="s">
        <v>369</v>
      </c>
      <c r="I350" s="65" t="s">
        <v>390</v>
      </c>
    </row>
    <row r="351" spans="2:9" ht="14.25" customHeight="1" x14ac:dyDescent="0.2">
      <c r="B351" s="101"/>
      <c r="C351" s="102"/>
      <c r="D351" s="103"/>
      <c r="E351" s="104"/>
      <c r="F351" s="104"/>
      <c r="H351" s="55" t="s">
        <v>369</v>
      </c>
      <c r="I351" s="65" t="s">
        <v>390</v>
      </c>
    </row>
    <row r="352" spans="2:9" ht="14.25" customHeight="1" x14ac:dyDescent="0.2">
      <c r="B352" s="101"/>
      <c r="C352" s="102"/>
      <c r="D352" s="103"/>
      <c r="E352" s="104"/>
      <c r="F352" s="104"/>
      <c r="H352" s="55" t="s">
        <v>369</v>
      </c>
      <c r="I352" s="65" t="s">
        <v>390</v>
      </c>
    </row>
    <row r="353" spans="2:9" ht="14.25" customHeight="1" x14ac:dyDescent="0.2">
      <c r="B353" s="101"/>
      <c r="C353" s="102"/>
      <c r="D353" s="103"/>
      <c r="E353" s="104"/>
      <c r="F353" s="104"/>
      <c r="H353" s="55" t="s">
        <v>369</v>
      </c>
      <c r="I353" s="65" t="s">
        <v>390</v>
      </c>
    </row>
    <row r="354" spans="2:9" ht="14.25" customHeight="1" x14ac:dyDescent="0.2">
      <c r="B354" s="101"/>
      <c r="C354" s="102"/>
      <c r="D354" s="103"/>
      <c r="E354" s="104"/>
      <c r="F354" s="104"/>
      <c r="H354" s="55" t="s">
        <v>369</v>
      </c>
      <c r="I354" s="65" t="s">
        <v>390</v>
      </c>
    </row>
    <row r="355" spans="2:9" ht="14.25" customHeight="1" x14ac:dyDescent="0.2">
      <c r="B355" s="101"/>
      <c r="C355" s="102"/>
      <c r="D355" s="103"/>
      <c r="E355" s="104"/>
      <c r="F355" s="104"/>
      <c r="H355" s="55" t="s">
        <v>369</v>
      </c>
      <c r="I355" s="65" t="s">
        <v>390</v>
      </c>
    </row>
    <row r="356" spans="2:9" ht="14.25" customHeight="1" x14ac:dyDescent="0.2">
      <c r="B356" s="101"/>
      <c r="C356" s="102"/>
      <c r="D356" s="103"/>
      <c r="E356" s="104"/>
      <c r="F356" s="104"/>
      <c r="H356" s="55" t="s">
        <v>369</v>
      </c>
      <c r="I356" s="65" t="s">
        <v>390</v>
      </c>
    </row>
    <row r="357" spans="2:9" ht="14.25" customHeight="1" x14ac:dyDescent="0.2">
      <c r="B357" s="101"/>
      <c r="C357" s="102"/>
      <c r="D357" s="103"/>
      <c r="E357" s="104"/>
      <c r="F357" s="104"/>
      <c r="H357" s="55" t="s">
        <v>369</v>
      </c>
      <c r="I357" s="65" t="s">
        <v>390</v>
      </c>
    </row>
    <row r="358" spans="2:9" ht="14.25" customHeight="1" x14ac:dyDescent="0.2">
      <c r="B358" s="101"/>
      <c r="C358" s="102"/>
      <c r="D358" s="103"/>
      <c r="E358" s="104"/>
      <c r="F358" s="104"/>
      <c r="H358" s="55" t="s">
        <v>369</v>
      </c>
      <c r="I358" s="65" t="s">
        <v>370</v>
      </c>
    </row>
    <row r="359" spans="2:9" ht="14.25" customHeight="1" x14ac:dyDescent="0.2">
      <c r="B359" s="101"/>
      <c r="C359" s="102"/>
      <c r="D359" s="103"/>
      <c r="E359" s="104"/>
      <c r="F359" s="104"/>
      <c r="H359" s="55" t="s">
        <v>369</v>
      </c>
      <c r="I359" s="65" t="s">
        <v>370</v>
      </c>
    </row>
    <row r="360" spans="2:9" ht="14.25" customHeight="1" x14ac:dyDescent="0.2">
      <c r="B360" s="101"/>
      <c r="C360" s="102"/>
      <c r="D360" s="103"/>
      <c r="E360" s="104"/>
      <c r="F360" s="104"/>
      <c r="H360" s="55" t="s">
        <v>369</v>
      </c>
      <c r="I360" s="65" t="s">
        <v>370</v>
      </c>
    </row>
    <row r="361" spans="2:9" ht="14.25" customHeight="1" x14ac:dyDescent="0.2">
      <c r="B361" s="101"/>
      <c r="C361" s="102"/>
      <c r="D361" s="103"/>
      <c r="E361" s="104"/>
      <c r="F361" s="104"/>
      <c r="H361" s="55" t="s">
        <v>369</v>
      </c>
      <c r="I361" s="65" t="s">
        <v>370</v>
      </c>
    </row>
    <row r="362" spans="2:9" ht="14.25" customHeight="1" x14ac:dyDescent="0.2">
      <c r="B362" s="101"/>
      <c r="C362" s="102"/>
      <c r="D362" s="103"/>
      <c r="E362" s="104"/>
      <c r="F362" s="104"/>
      <c r="H362" s="55" t="s">
        <v>369</v>
      </c>
      <c r="I362" s="65" t="s">
        <v>370</v>
      </c>
    </row>
    <row r="363" spans="2:9" ht="14.25" customHeight="1" x14ac:dyDescent="0.2">
      <c r="B363" s="101"/>
      <c r="C363" s="102"/>
      <c r="D363" s="103"/>
      <c r="E363" s="104"/>
      <c r="F363" s="104"/>
      <c r="H363" s="55" t="s">
        <v>369</v>
      </c>
      <c r="I363" s="65" t="s">
        <v>370</v>
      </c>
    </row>
    <row r="364" spans="2:9" ht="14.25" customHeight="1" x14ac:dyDescent="0.2">
      <c r="B364" s="101"/>
      <c r="C364" s="102"/>
      <c r="D364" s="103"/>
      <c r="E364" s="104"/>
      <c r="F364" s="104"/>
      <c r="H364" s="55" t="s">
        <v>369</v>
      </c>
      <c r="I364" s="65" t="s">
        <v>370</v>
      </c>
    </row>
    <row r="365" spans="2:9" ht="14.25" customHeight="1" x14ac:dyDescent="0.2">
      <c r="B365" s="101"/>
      <c r="C365" s="102"/>
      <c r="D365" s="103"/>
      <c r="E365" s="104"/>
      <c r="F365" s="104"/>
      <c r="H365" s="55" t="s">
        <v>369</v>
      </c>
      <c r="I365" s="65" t="s">
        <v>370</v>
      </c>
    </row>
    <row r="366" spans="2:9" ht="14.25" customHeight="1" x14ac:dyDescent="0.2">
      <c r="B366" s="101"/>
      <c r="C366" s="102"/>
      <c r="D366" s="103"/>
      <c r="E366" s="104"/>
      <c r="F366" s="104"/>
      <c r="H366" s="55" t="s">
        <v>369</v>
      </c>
      <c r="I366" s="65" t="s">
        <v>370</v>
      </c>
    </row>
    <row r="367" spans="2:9" ht="14.25" customHeight="1" x14ac:dyDescent="0.2">
      <c r="B367" s="101"/>
      <c r="C367" s="102"/>
      <c r="D367" s="103"/>
      <c r="E367" s="104"/>
      <c r="F367" s="104"/>
      <c r="H367" s="55" t="s">
        <v>369</v>
      </c>
      <c r="I367" s="65" t="s">
        <v>370</v>
      </c>
    </row>
    <row r="368" spans="2:9" ht="14.25" customHeight="1" x14ac:dyDescent="0.2">
      <c r="B368" s="101"/>
      <c r="C368" s="102"/>
      <c r="D368" s="103"/>
      <c r="E368" s="104"/>
      <c r="F368" s="104"/>
      <c r="H368" s="55" t="s">
        <v>369</v>
      </c>
      <c r="I368" s="65" t="s">
        <v>370</v>
      </c>
    </row>
    <row r="369" spans="2:9" ht="14.25" customHeight="1" x14ac:dyDescent="0.2">
      <c r="B369" s="101"/>
      <c r="C369" s="102"/>
      <c r="D369" s="103"/>
      <c r="E369" s="104"/>
      <c r="F369" s="104"/>
      <c r="H369" s="55" t="s">
        <v>369</v>
      </c>
      <c r="I369" s="65" t="s">
        <v>380</v>
      </c>
    </row>
    <row r="370" spans="2:9" ht="14.25" customHeight="1" x14ac:dyDescent="0.2">
      <c r="B370" s="101"/>
      <c r="C370" s="102"/>
      <c r="D370" s="103"/>
      <c r="E370" s="104"/>
      <c r="F370" s="104"/>
      <c r="H370" s="55" t="s">
        <v>369</v>
      </c>
      <c r="I370" s="65" t="s">
        <v>380</v>
      </c>
    </row>
    <row r="371" spans="2:9" ht="14.25" customHeight="1" x14ac:dyDescent="0.2">
      <c r="B371" s="101"/>
      <c r="C371" s="102"/>
      <c r="D371" s="103"/>
      <c r="E371" s="104"/>
      <c r="F371" s="104"/>
      <c r="H371" s="55" t="s">
        <v>369</v>
      </c>
      <c r="I371" s="65" t="s">
        <v>380</v>
      </c>
    </row>
    <row r="372" spans="2:9" ht="14.25" customHeight="1" x14ac:dyDescent="0.2">
      <c r="B372" s="101"/>
      <c r="C372" s="102"/>
      <c r="D372" s="103"/>
      <c r="E372" s="104"/>
      <c r="F372" s="104"/>
      <c r="H372" s="55" t="s">
        <v>369</v>
      </c>
      <c r="I372" s="65" t="s">
        <v>380</v>
      </c>
    </row>
    <row r="373" spans="2:9" ht="14.25" customHeight="1" x14ac:dyDescent="0.2">
      <c r="B373" s="101"/>
      <c r="C373" s="102"/>
      <c r="D373" s="103"/>
      <c r="E373" s="104"/>
      <c r="F373" s="104"/>
      <c r="H373" s="55" t="s">
        <v>369</v>
      </c>
      <c r="I373" s="65" t="s">
        <v>380</v>
      </c>
    </row>
    <row r="374" spans="2:9" ht="14.25" customHeight="1" x14ac:dyDescent="0.2">
      <c r="B374" s="101"/>
      <c r="C374" s="102"/>
      <c r="D374" s="103"/>
      <c r="E374" s="104"/>
      <c r="F374" s="104"/>
      <c r="H374" s="55" t="s">
        <v>369</v>
      </c>
      <c r="I374" s="65" t="s">
        <v>381</v>
      </c>
    </row>
    <row r="375" spans="2:9" ht="14.25" customHeight="1" x14ac:dyDescent="0.2">
      <c r="B375" s="101"/>
      <c r="C375" s="102"/>
      <c r="D375" s="103"/>
      <c r="E375" s="104"/>
      <c r="F375" s="104"/>
      <c r="H375" s="55" t="s">
        <v>369</v>
      </c>
      <c r="I375" s="65" t="s">
        <v>381</v>
      </c>
    </row>
    <row r="376" spans="2:9" ht="14.25" customHeight="1" x14ac:dyDescent="0.2">
      <c r="B376" s="101"/>
      <c r="C376" s="102"/>
      <c r="D376" s="103"/>
      <c r="E376" s="104"/>
      <c r="F376" s="104"/>
      <c r="H376" s="55" t="s">
        <v>382</v>
      </c>
      <c r="I376" s="65" t="s">
        <v>381</v>
      </c>
    </row>
    <row r="377" spans="2:9" ht="14.25" customHeight="1" x14ac:dyDescent="0.2">
      <c r="B377" s="101"/>
      <c r="C377" s="102"/>
      <c r="D377" s="103"/>
      <c r="E377" s="104"/>
      <c r="F377" s="104"/>
      <c r="H377" s="55" t="s">
        <v>369</v>
      </c>
      <c r="I377" s="65" t="s">
        <v>381</v>
      </c>
    </row>
    <row r="378" spans="2:9" ht="14.25" customHeight="1" x14ac:dyDescent="0.2">
      <c r="B378" s="101"/>
      <c r="C378" s="102"/>
      <c r="D378" s="103"/>
      <c r="E378" s="104"/>
      <c r="F378" s="104"/>
      <c r="H378" s="55" t="s">
        <v>369</v>
      </c>
      <c r="I378" s="65" t="s">
        <v>381</v>
      </c>
    </row>
    <row r="379" spans="2:9" ht="14.25" customHeight="1" x14ac:dyDescent="0.2">
      <c r="B379" s="101"/>
      <c r="C379" s="102"/>
      <c r="D379" s="103"/>
      <c r="E379" s="104"/>
      <c r="F379" s="104"/>
      <c r="H379" s="55" t="s">
        <v>382</v>
      </c>
      <c r="I379" s="65" t="s">
        <v>381</v>
      </c>
    </row>
    <row r="380" spans="2:9" ht="14.25" customHeight="1" x14ac:dyDescent="0.2">
      <c r="B380" s="101"/>
      <c r="C380" s="102"/>
      <c r="D380" s="103"/>
      <c r="E380" s="104"/>
      <c r="F380" s="104"/>
    </row>
  </sheetData>
  <autoFilter ref="B13:F134"/>
  <mergeCells count="10">
    <mergeCell ref="B136:F136"/>
    <mergeCell ref="B138:F138"/>
    <mergeCell ref="B140:F140"/>
    <mergeCell ref="B141:F141"/>
    <mergeCell ref="B1:J1"/>
    <mergeCell ref="B2:J2"/>
    <mergeCell ref="B5:C5"/>
    <mergeCell ref="B6:C6"/>
    <mergeCell ref="B7:C7"/>
    <mergeCell ref="B8:F8"/>
  </mergeCells>
  <pageMargins left="0.39370078740157483" right="0" top="0.35433070866141736" bottom="0.35433070866141736" header="0.31496062992125984" footer="0.31496062992125984"/>
  <pageSetup paperSize="9" scale="74" fitToHeight="0" orientation="portrait" r:id="rId1"/>
  <rowBreaks count="1" manualBreakCount="1">
    <brk id="142" max="16383" man="1"/>
  </rowBreaks>
  <colBreaks count="1" manualBreakCount="1">
    <brk id="15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N607"/>
  <sheetViews>
    <sheetView topLeftCell="B13" zoomScale="110" zoomScaleNormal="110" zoomScaleSheetLayoutView="90" workbookViewId="0">
      <selection activeCell="E82" sqref="E82"/>
    </sheetView>
  </sheetViews>
  <sheetFormatPr defaultRowHeight="12" x14ac:dyDescent="0.2"/>
  <cols>
    <col min="1" max="1" width="34" style="117" customWidth="1"/>
    <col min="2" max="2" width="42.28515625" style="117" customWidth="1"/>
    <col min="3" max="3" width="23.140625" style="162" customWidth="1"/>
    <col min="4" max="5" width="12.85546875" style="163" customWidth="1"/>
    <col min="6" max="6" width="14.140625" style="220" customWidth="1"/>
    <col min="7" max="7" width="11.5703125" style="220" customWidth="1"/>
    <col min="8" max="8" width="17.85546875" style="220" customWidth="1"/>
    <col min="9" max="9" width="12.85546875" style="220" customWidth="1"/>
    <col min="10" max="10" width="18.85546875" style="220" customWidth="1"/>
    <col min="11" max="11" width="16.28515625" style="220" customWidth="1"/>
    <col min="12" max="12" width="12" style="220" customWidth="1"/>
    <col min="13" max="13" width="21.42578125" style="220" customWidth="1"/>
    <col min="14" max="14" width="17" style="220" customWidth="1"/>
    <col min="15" max="16" width="12.85546875" style="220" customWidth="1"/>
    <col min="17" max="17" width="12.7109375" style="220" customWidth="1"/>
    <col min="18" max="18" width="11.5703125" style="220" customWidth="1"/>
    <col min="19" max="19" width="10.7109375" style="220" customWidth="1"/>
    <col min="20" max="20" width="12.85546875" style="220" customWidth="1"/>
    <col min="21" max="21" width="19.5703125" style="220" customWidth="1"/>
    <col min="22" max="22" width="12.28515625" style="220" customWidth="1"/>
    <col min="23" max="23" width="12.42578125" style="220" customWidth="1"/>
    <col min="24" max="24" width="12.7109375" style="220" customWidth="1"/>
    <col min="25" max="25" width="14.28515625" style="220" customWidth="1"/>
    <col min="26" max="26" width="12.140625" style="220" customWidth="1"/>
    <col min="27" max="27" width="14.28515625" style="220" bestFit="1" customWidth="1"/>
    <col min="28" max="28" width="9.42578125" style="106" customWidth="1"/>
    <col min="29" max="29" width="9.140625" style="106"/>
    <col min="30" max="30" width="11.28515625" style="106" bestFit="1" customWidth="1"/>
    <col min="31" max="52" width="9.140625" style="106"/>
    <col min="53" max="16384" width="9.140625" style="117"/>
  </cols>
  <sheetData>
    <row r="1" spans="1:170" s="108" customFormat="1" ht="19.5" customHeight="1" x14ac:dyDescent="0.2">
      <c r="A1" s="671"/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</row>
    <row r="2" spans="1:170" s="112" customFormat="1" ht="19.5" customHeight="1" x14ac:dyDescent="0.2">
      <c r="A2" s="109"/>
      <c r="B2" s="110"/>
      <c r="C2" s="111">
        <v>1</v>
      </c>
      <c r="D2" s="111">
        <v>2</v>
      </c>
      <c r="E2" s="111">
        <v>3</v>
      </c>
      <c r="F2" s="111">
        <v>4</v>
      </c>
      <c r="G2" s="111">
        <v>5</v>
      </c>
      <c r="H2" s="111">
        <v>6</v>
      </c>
      <c r="I2" s="111">
        <v>7</v>
      </c>
      <c r="J2" s="111">
        <v>8</v>
      </c>
      <c r="K2" s="111">
        <v>9</v>
      </c>
      <c r="L2" s="111">
        <v>10</v>
      </c>
      <c r="M2" s="111">
        <v>11</v>
      </c>
      <c r="N2" s="111">
        <v>12</v>
      </c>
      <c r="O2" s="111">
        <v>13</v>
      </c>
      <c r="P2" s="111">
        <v>14</v>
      </c>
      <c r="Q2" s="111">
        <v>15</v>
      </c>
      <c r="R2" s="111">
        <v>16</v>
      </c>
      <c r="S2" s="111">
        <v>17</v>
      </c>
      <c r="T2" s="111">
        <v>18</v>
      </c>
      <c r="U2" s="111">
        <v>19</v>
      </c>
      <c r="V2" s="111">
        <v>20</v>
      </c>
      <c r="W2" s="111">
        <v>21</v>
      </c>
      <c r="X2" s="111">
        <v>22</v>
      </c>
      <c r="Y2" s="111">
        <v>23</v>
      </c>
      <c r="Z2" s="111">
        <v>24</v>
      </c>
      <c r="AA2" s="111"/>
      <c r="AB2" s="111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</row>
    <row r="3" spans="1:170" s="112" customFormat="1" ht="19.5" customHeight="1" x14ac:dyDescent="0.2">
      <c r="A3" s="109"/>
      <c r="B3" s="109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3"/>
      <c r="U3" s="111"/>
      <c r="V3" s="111"/>
      <c r="W3" s="111"/>
      <c r="X3" s="111"/>
      <c r="Y3" s="111"/>
      <c r="Z3" s="114"/>
      <c r="AA3" s="115"/>
      <c r="AB3" s="111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</row>
    <row r="4" spans="1:170" s="112" customFormat="1" ht="19.5" customHeight="1" x14ac:dyDescent="0.2">
      <c r="A4" s="672" t="s">
        <v>394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</row>
    <row r="5" spans="1:170" s="106" customFormat="1" ht="18" customHeight="1" x14ac:dyDescent="0.2">
      <c r="A5" s="673" t="s">
        <v>2</v>
      </c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3"/>
      <c r="AA5" s="673"/>
      <c r="AB5" s="673"/>
    </row>
    <row r="6" spans="1:170" ht="28.5" customHeight="1" x14ac:dyDescent="0.2">
      <c r="A6" s="116" t="s">
        <v>395</v>
      </c>
      <c r="B6" s="116"/>
      <c r="C6" s="116"/>
      <c r="D6" s="116"/>
      <c r="E6" s="116"/>
      <c r="F6" s="116"/>
      <c r="G6" s="116"/>
      <c r="H6" s="116"/>
      <c r="I6" s="116"/>
      <c r="J6" s="116">
        <f>+K13/12</f>
        <v>81600</v>
      </c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</row>
    <row r="7" spans="1:170" s="118" customFormat="1" ht="13.5" customHeight="1" x14ac:dyDescent="0.2">
      <c r="A7" s="674" t="s">
        <v>4</v>
      </c>
      <c r="B7" s="674" t="s">
        <v>396</v>
      </c>
      <c r="C7" s="675" t="s">
        <v>397</v>
      </c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675"/>
      <c r="O7" s="675"/>
      <c r="P7" s="675"/>
      <c r="Q7" s="675"/>
      <c r="R7" s="675"/>
      <c r="S7" s="675"/>
      <c r="T7" s="675"/>
      <c r="U7" s="675"/>
      <c r="V7" s="675"/>
      <c r="W7" s="675"/>
      <c r="X7" s="675"/>
      <c r="Y7" s="675"/>
      <c r="Z7" s="675"/>
      <c r="AA7" s="676" t="s">
        <v>8</v>
      </c>
      <c r="AB7" s="678" t="s">
        <v>398</v>
      </c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</row>
    <row r="8" spans="1:170" s="112" customFormat="1" ht="72.75" customHeight="1" x14ac:dyDescent="0.2">
      <c r="A8" s="674"/>
      <c r="B8" s="674"/>
      <c r="C8" s="119" t="s">
        <v>399</v>
      </c>
      <c r="D8" s="119" t="s">
        <v>400</v>
      </c>
      <c r="E8" s="119" t="s">
        <v>401</v>
      </c>
      <c r="F8" s="119" t="s">
        <v>402</v>
      </c>
      <c r="G8" s="119" t="s">
        <v>403</v>
      </c>
      <c r="H8" s="119" t="s">
        <v>404</v>
      </c>
      <c r="I8" s="119" t="s">
        <v>405</v>
      </c>
      <c r="J8" s="119" t="s">
        <v>406</v>
      </c>
      <c r="K8" s="119" t="s">
        <v>407</v>
      </c>
      <c r="L8" s="119" t="s">
        <v>408</v>
      </c>
      <c r="M8" s="119" t="s">
        <v>409</v>
      </c>
      <c r="N8" s="119" t="s">
        <v>410</v>
      </c>
      <c r="O8" s="119" t="s">
        <v>411</v>
      </c>
      <c r="P8" s="119" t="s">
        <v>412</v>
      </c>
      <c r="Q8" s="119" t="s">
        <v>413</v>
      </c>
      <c r="R8" s="119" t="s">
        <v>414</v>
      </c>
      <c r="S8" s="119" t="s">
        <v>415</v>
      </c>
      <c r="T8" s="119" t="s">
        <v>416</v>
      </c>
      <c r="U8" s="119" t="s">
        <v>417</v>
      </c>
      <c r="V8" s="119" t="s">
        <v>418</v>
      </c>
      <c r="W8" s="119" t="s">
        <v>419</v>
      </c>
      <c r="X8" s="119" t="s">
        <v>420</v>
      </c>
      <c r="Y8" s="119" t="s">
        <v>421</v>
      </c>
      <c r="Z8" s="119" t="s">
        <v>422</v>
      </c>
      <c r="AA8" s="677"/>
      <c r="AB8" s="679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</row>
    <row r="9" spans="1:170" s="127" customFormat="1" ht="24" customHeight="1" x14ac:dyDescent="0.2">
      <c r="A9" s="120"/>
      <c r="B9" s="121" t="s">
        <v>423</v>
      </c>
      <c r="C9" s="122">
        <f t="shared" ref="C9:Z9" si="0">C10+C40+C72+C82+C92+C101+C156</f>
        <v>3475280</v>
      </c>
      <c r="D9" s="122">
        <f t="shared" si="0"/>
        <v>10645444</v>
      </c>
      <c r="E9" s="122">
        <f t="shared" si="0"/>
        <v>56843915</v>
      </c>
      <c r="F9" s="122">
        <f>F10+F40+F72+F82+F92+F101+F156</f>
        <v>18704354</v>
      </c>
      <c r="G9" s="122">
        <f t="shared" si="0"/>
        <v>2282388</v>
      </c>
      <c r="H9" s="122">
        <f t="shared" si="0"/>
        <v>4000000</v>
      </c>
      <c r="I9" s="122">
        <f t="shared" si="0"/>
        <v>11036924</v>
      </c>
      <c r="J9" s="122">
        <f t="shared" si="0"/>
        <v>2279144</v>
      </c>
      <c r="K9" s="122">
        <f t="shared" si="0"/>
        <v>7106080</v>
      </c>
      <c r="L9" s="122">
        <f t="shared" si="0"/>
        <v>1915680</v>
      </c>
      <c r="M9" s="122">
        <f t="shared" si="0"/>
        <v>25568140</v>
      </c>
      <c r="N9" s="122">
        <f t="shared" si="0"/>
        <v>24650620</v>
      </c>
      <c r="O9" s="122">
        <f t="shared" si="0"/>
        <v>20515788</v>
      </c>
      <c r="P9" s="122">
        <f t="shared" si="0"/>
        <v>10597404</v>
      </c>
      <c r="Q9" s="122">
        <f t="shared" si="0"/>
        <v>2726256</v>
      </c>
      <c r="R9" s="122">
        <f t="shared" si="0"/>
        <v>1261944</v>
      </c>
      <c r="S9" s="122">
        <f>S10+S40+S72+S82+S92+S101+S156</f>
        <v>833752</v>
      </c>
      <c r="T9" s="122">
        <f t="shared" si="0"/>
        <v>1008752</v>
      </c>
      <c r="U9" s="122">
        <f t="shared" si="0"/>
        <v>5291208</v>
      </c>
      <c r="V9" s="122">
        <f t="shared" si="0"/>
        <v>1431944</v>
      </c>
      <c r="W9" s="122">
        <f t="shared" si="0"/>
        <v>1008752</v>
      </c>
      <c r="X9" s="122">
        <f t="shared" si="0"/>
        <v>1677504</v>
      </c>
      <c r="Y9" s="122">
        <f t="shared" si="0"/>
        <v>237068332</v>
      </c>
      <c r="Z9" s="122">
        <f t="shared" si="0"/>
        <v>3775552</v>
      </c>
      <c r="AA9" s="122">
        <f>+SUM(C9:Z9)</f>
        <v>455705157</v>
      </c>
      <c r="AB9" s="123">
        <f t="shared" ref="AB9:AB25" si="1">AA9/$AA$9</f>
        <v>1</v>
      </c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</row>
    <row r="10" spans="1:170" s="133" customFormat="1" ht="20.25" customHeight="1" x14ac:dyDescent="0.2">
      <c r="A10" s="128" t="s">
        <v>424</v>
      </c>
      <c r="B10" s="129" t="s">
        <v>425</v>
      </c>
      <c r="C10" s="130">
        <f t="shared" ref="C10:H10" si="2">C11+C34</f>
        <v>2425280</v>
      </c>
      <c r="D10" s="130">
        <f t="shared" si="2"/>
        <v>9282244</v>
      </c>
      <c r="E10" s="130">
        <f t="shared" si="2"/>
        <v>21357150</v>
      </c>
      <c r="F10" s="130">
        <f>F11+F34</f>
        <v>17544354</v>
      </c>
      <c r="G10" s="130">
        <f t="shared" si="2"/>
        <v>2222388</v>
      </c>
      <c r="H10" s="130">
        <f t="shared" si="2"/>
        <v>0</v>
      </c>
      <c r="I10" s="130">
        <f>+I11+I34</f>
        <v>4355044</v>
      </c>
      <c r="J10" s="130">
        <f>+J11+J34</f>
        <v>1239144</v>
      </c>
      <c r="K10" s="130">
        <f>+K11+K34</f>
        <v>979200</v>
      </c>
      <c r="L10" s="130">
        <f>+L11+L34</f>
        <v>1468800</v>
      </c>
      <c r="M10" s="130">
        <f>+M11+M34</f>
        <v>18598140</v>
      </c>
      <c r="N10" s="130">
        <f>N11+N34</f>
        <v>6020620</v>
      </c>
      <c r="O10" s="130">
        <f>O11+O34</f>
        <v>7243008</v>
      </c>
      <c r="P10" s="130">
        <f>+P11+P34</f>
        <v>9337404</v>
      </c>
      <c r="Q10" s="130">
        <f>Q11+Q34</f>
        <v>2451256</v>
      </c>
      <c r="R10" s="130">
        <f>+R11</f>
        <v>1231944</v>
      </c>
      <c r="S10" s="130">
        <f t="shared" ref="S10:T11" si="3">+S11</f>
        <v>808752</v>
      </c>
      <c r="T10" s="130">
        <f t="shared" si="3"/>
        <v>808752</v>
      </c>
      <c r="U10" s="130">
        <f>+U11+U34</f>
        <v>5266208</v>
      </c>
      <c r="V10" s="130">
        <f t="shared" ref="V10:X10" si="4">+V11+V34</f>
        <v>1231944</v>
      </c>
      <c r="W10" s="130">
        <f t="shared" si="4"/>
        <v>808752</v>
      </c>
      <c r="X10" s="130">
        <f t="shared" si="4"/>
        <v>1677504</v>
      </c>
      <c r="Y10" s="130">
        <f>Y11+Y34</f>
        <v>9921452</v>
      </c>
      <c r="Z10" s="130">
        <f>Z11+Z34</f>
        <v>3508672</v>
      </c>
      <c r="AA10" s="130">
        <f>+SUM(C10:Z10)</f>
        <v>129788012</v>
      </c>
      <c r="AB10" s="131">
        <f t="shared" si="1"/>
        <v>0.28480698540789173</v>
      </c>
      <c r="AC10" s="112"/>
      <c r="AD10" s="637">
        <f>+AA10+MapaX!I14</f>
        <v>401443012</v>
      </c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</row>
    <row r="11" spans="1:170" s="138" customFormat="1" ht="15.75" x14ac:dyDescent="0.2">
      <c r="A11" s="134" t="s">
        <v>426</v>
      </c>
      <c r="B11" s="135" t="s">
        <v>427</v>
      </c>
      <c r="C11" s="136">
        <f t="shared" ref="C11:H11" si="5">C12+C17+C27</f>
        <v>2425280</v>
      </c>
      <c r="D11" s="136">
        <f t="shared" si="5"/>
        <v>9282244</v>
      </c>
      <c r="E11" s="136">
        <f t="shared" si="5"/>
        <v>13330150</v>
      </c>
      <c r="F11" s="136">
        <f>F12+F17+F27</f>
        <v>17491554</v>
      </c>
      <c r="G11" s="136">
        <f t="shared" si="5"/>
        <v>2222388</v>
      </c>
      <c r="H11" s="136">
        <f t="shared" si="5"/>
        <v>0</v>
      </c>
      <c r="I11" s="136">
        <f>+I12+I17+I27</f>
        <v>4355044</v>
      </c>
      <c r="J11" s="136">
        <f>+J12+J17+J27</f>
        <v>1231944</v>
      </c>
      <c r="K11" s="136">
        <f>+K12+K17+K27</f>
        <v>979200</v>
      </c>
      <c r="L11" s="136">
        <f>+L12+L17+L27</f>
        <v>1468800</v>
      </c>
      <c r="M11" s="136">
        <f>+M12+M17+M27</f>
        <v>18568140</v>
      </c>
      <c r="N11" s="136">
        <f>N12+N17+N27</f>
        <v>5996620</v>
      </c>
      <c r="O11" s="136">
        <f>O12+O17+O27</f>
        <v>7103008</v>
      </c>
      <c r="P11" s="136">
        <f>+P12+P17+P27</f>
        <v>9337404</v>
      </c>
      <c r="Q11" s="136">
        <f>Q12+Q17+Q27</f>
        <v>2436256</v>
      </c>
      <c r="R11" s="136">
        <f>+R12</f>
        <v>1231944</v>
      </c>
      <c r="S11" s="136">
        <f t="shared" si="3"/>
        <v>808752</v>
      </c>
      <c r="T11" s="136">
        <f t="shared" si="3"/>
        <v>808752</v>
      </c>
      <c r="U11" s="136">
        <f>+U12+U17+U27</f>
        <v>5259008</v>
      </c>
      <c r="V11" s="136">
        <f t="shared" ref="V11:X11" si="6">+V12+V17+V27</f>
        <v>1231944</v>
      </c>
      <c r="W11" s="136">
        <f t="shared" si="6"/>
        <v>808752</v>
      </c>
      <c r="X11" s="136">
        <f t="shared" si="6"/>
        <v>1677504</v>
      </c>
      <c r="Y11" s="136">
        <f>Y12+Y17+Y27</f>
        <v>9897452</v>
      </c>
      <c r="Z11" s="136">
        <f>Z12+Z17+Z27</f>
        <v>3506272</v>
      </c>
      <c r="AA11" s="136">
        <f t="shared" ref="AA11:AA73" si="7">+SUM(C11:Z11)</f>
        <v>121458412</v>
      </c>
      <c r="AB11" s="137">
        <f t="shared" si="1"/>
        <v>0.26652850013720603</v>
      </c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</row>
    <row r="12" spans="1:170" s="124" customFormat="1" ht="19.5" customHeight="1" x14ac:dyDescent="0.2">
      <c r="A12" s="139" t="s">
        <v>430</v>
      </c>
      <c r="B12" s="139" t="s">
        <v>431</v>
      </c>
      <c r="C12" s="140">
        <f>SUM(C13:C16)</f>
        <v>1289280</v>
      </c>
      <c r="D12" s="140">
        <f>SUM(D13:D16)</f>
        <v>7997444</v>
      </c>
      <c r="E12" s="140">
        <f>SUM(E13:E16)</f>
        <v>10711872</v>
      </c>
      <c r="F12" s="140">
        <f>SUM(F13:F16)</f>
        <v>16578180</v>
      </c>
      <c r="G12" s="140">
        <f t="shared" ref="G12:Y12" si="8">G13+G14+G15+G16</f>
        <v>1654536</v>
      </c>
      <c r="H12" s="140">
        <f t="shared" si="8"/>
        <v>0</v>
      </c>
      <c r="I12" s="140">
        <f>SUM(I13:I16)</f>
        <v>3715044</v>
      </c>
      <c r="J12" s="140">
        <f>SUM(J13:J16)</f>
        <v>1231944</v>
      </c>
      <c r="K12" s="140">
        <f>SUM(K13:K16)</f>
        <v>979200</v>
      </c>
      <c r="L12" s="140">
        <f>SUM(L13:L16)</f>
        <v>1468800</v>
      </c>
      <c r="M12" s="140">
        <f>SUM(M13:M16)</f>
        <v>18418140</v>
      </c>
      <c r="N12" s="140">
        <f t="shared" si="8"/>
        <v>5858184</v>
      </c>
      <c r="O12" s="140">
        <f t="shared" si="8"/>
        <v>6013008</v>
      </c>
      <c r="P12" s="140">
        <f>SUM(P13:P16)</f>
        <v>9078924</v>
      </c>
      <c r="Q12" s="140">
        <f t="shared" si="8"/>
        <v>2426256</v>
      </c>
      <c r="R12" s="140">
        <f t="shared" si="8"/>
        <v>1231944</v>
      </c>
      <c r="S12" s="140">
        <f>S13+S14+S15+S16+S34</f>
        <v>808752</v>
      </c>
      <c r="T12" s="140">
        <f t="shared" ref="T12" si="9">+T14</f>
        <v>808752</v>
      </c>
      <c r="U12" s="140">
        <f>+U14+U15+U16</f>
        <v>4474092</v>
      </c>
      <c r="V12" s="140">
        <f t="shared" ref="V12:X12" si="10">+V14+V15+V16</f>
        <v>1231944</v>
      </c>
      <c r="W12" s="140">
        <f t="shared" si="10"/>
        <v>808752</v>
      </c>
      <c r="X12" s="140">
        <f t="shared" si="10"/>
        <v>1617504</v>
      </c>
      <c r="Y12" s="140">
        <f t="shared" si="8"/>
        <v>9307512</v>
      </c>
      <c r="Z12" s="140">
        <f>+SUM(Z13:Z16)</f>
        <v>3430380</v>
      </c>
      <c r="AA12" s="140">
        <f t="shared" si="7"/>
        <v>111140444</v>
      </c>
      <c r="AB12" s="141">
        <f t="shared" si="1"/>
        <v>0.24388673749417322</v>
      </c>
      <c r="AC12" s="112"/>
      <c r="AD12" s="637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</row>
    <row r="13" spans="1:170" s="112" customFormat="1" ht="21.75" customHeight="1" x14ac:dyDescent="0.2">
      <c r="A13" s="143" t="s">
        <v>432</v>
      </c>
      <c r="B13" s="143" t="s">
        <v>433</v>
      </c>
      <c r="C13" s="144">
        <v>1289280</v>
      </c>
      <c r="D13" s="144">
        <v>7997444</v>
      </c>
      <c r="E13" s="144"/>
      <c r="F13" s="144">
        <v>0</v>
      </c>
      <c r="G13" s="144">
        <v>0</v>
      </c>
      <c r="H13" s="144"/>
      <c r="I13" s="144">
        <v>979200</v>
      </c>
      <c r="J13" s="144">
        <v>0</v>
      </c>
      <c r="K13" s="144">
        <v>979200</v>
      </c>
      <c r="L13" s="144">
        <v>1468800</v>
      </c>
      <c r="M13" s="144">
        <v>0</v>
      </c>
      <c r="N13" s="144">
        <v>0</v>
      </c>
      <c r="O13" s="144">
        <v>1468800</v>
      </c>
      <c r="P13" s="144">
        <v>0</v>
      </c>
      <c r="Q13" s="144">
        <v>0</v>
      </c>
      <c r="R13" s="144">
        <v>0</v>
      </c>
      <c r="S13" s="144">
        <v>0</v>
      </c>
      <c r="T13" s="144"/>
      <c r="U13" s="144">
        <v>0</v>
      </c>
      <c r="V13" s="144">
        <v>0</v>
      </c>
      <c r="W13" s="144">
        <v>0</v>
      </c>
      <c r="X13" s="144"/>
      <c r="Y13" s="144">
        <v>1468800</v>
      </c>
      <c r="Z13" s="144">
        <v>1468800</v>
      </c>
      <c r="AA13" s="145">
        <f t="shared" si="7"/>
        <v>17120324</v>
      </c>
      <c r="AB13" s="146">
        <f t="shared" si="1"/>
        <v>3.756886165762658E-2</v>
      </c>
    </row>
    <row r="14" spans="1:170" s="112" customFormat="1" ht="20.25" customHeight="1" x14ac:dyDescent="0.2">
      <c r="A14" s="143" t="s">
        <v>435</v>
      </c>
      <c r="B14" s="143" t="s">
        <v>436</v>
      </c>
      <c r="C14" s="144">
        <v>0</v>
      </c>
      <c r="D14" s="144">
        <v>0</v>
      </c>
      <c r="E14" s="144">
        <v>3386592</v>
      </c>
      <c r="F14" s="144">
        <v>0</v>
      </c>
      <c r="G14" s="144">
        <v>0</v>
      </c>
      <c r="H14" s="144">
        <v>0</v>
      </c>
      <c r="I14" s="144">
        <v>0</v>
      </c>
      <c r="J14" s="144">
        <v>1231944</v>
      </c>
      <c r="K14" s="144">
        <v>0</v>
      </c>
      <c r="L14" s="144">
        <v>0</v>
      </c>
      <c r="M14" s="144">
        <v>0</v>
      </c>
      <c r="N14" s="144">
        <v>2849448</v>
      </c>
      <c r="O14" s="144">
        <v>3848760</v>
      </c>
      <c r="P14" s="144">
        <v>0</v>
      </c>
      <c r="Q14" s="144">
        <v>0</v>
      </c>
      <c r="R14" s="144"/>
      <c r="S14" s="144">
        <v>0</v>
      </c>
      <c r="T14" s="144">
        <v>808752</v>
      </c>
      <c r="U14" s="144">
        <v>1231944</v>
      </c>
      <c r="V14" s="144">
        <v>0</v>
      </c>
      <c r="W14" s="144">
        <v>0</v>
      </c>
      <c r="X14" s="144"/>
      <c r="Y14" s="144">
        <v>3948696</v>
      </c>
      <c r="Z14" s="144">
        <v>0</v>
      </c>
      <c r="AA14" s="145">
        <f t="shared" si="7"/>
        <v>17306136</v>
      </c>
      <c r="AB14" s="146">
        <f t="shared" si="1"/>
        <v>3.7976607756492871E-2</v>
      </c>
    </row>
    <row r="15" spans="1:170" s="112" customFormat="1" ht="18.75" customHeight="1" x14ac:dyDescent="0.2">
      <c r="A15" s="143" t="s">
        <v>437</v>
      </c>
      <c r="B15" s="143" t="s">
        <v>438</v>
      </c>
      <c r="C15" s="144">
        <v>0</v>
      </c>
      <c r="D15" s="144">
        <v>0</v>
      </c>
      <c r="E15" s="144">
        <v>7325280</v>
      </c>
      <c r="F15" s="144">
        <v>16578180</v>
      </c>
      <c r="G15" s="144">
        <v>1654536</v>
      </c>
      <c r="H15" s="149">
        <v>0</v>
      </c>
      <c r="I15" s="149">
        <v>2735844</v>
      </c>
      <c r="J15" s="144"/>
      <c r="K15" s="144">
        <v>0</v>
      </c>
      <c r="L15" s="144"/>
      <c r="M15" s="144">
        <v>18418140</v>
      </c>
      <c r="N15" s="144">
        <v>3008736</v>
      </c>
      <c r="O15" s="144">
        <v>695448</v>
      </c>
      <c r="P15" s="144">
        <v>9078924</v>
      </c>
      <c r="Q15" s="144">
        <v>2426256</v>
      </c>
      <c r="R15" s="144">
        <v>1231944</v>
      </c>
      <c r="S15" s="144">
        <v>808752</v>
      </c>
      <c r="T15" s="144"/>
      <c r="U15" s="144">
        <v>3242148</v>
      </c>
      <c r="V15" s="144">
        <v>1231944</v>
      </c>
      <c r="W15" s="144">
        <v>808752</v>
      </c>
      <c r="X15" s="144">
        <v>1617504</v>
      </c>
      <c r="Y15" s="144">
        <v>3890016</v>
      </c>
      <c r="Z15" s="144">
        <v>1961580</v>
      </c>
      <c r="AA15" s="145">
        <f t="shared" si="7"/>
        <v>76713984</v>
      </c>
      <c r="AB15" s="146">
        <f t="shared" si="1"/>
        <v>0.16834126808005379</v>
      </c>
    </row>
    <row r="16" spans="1:170" s="112" customFormat="1" ht="21.75" customHeight="1" x14ac:dyDescent="0.2">
      <c r="A16" s="143" t="s">
        <v>440</v>
      </c>
      <c r="B16" s="143" t="s">
        <v>441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  <c r="O16" s="144">
        <v>0</v>
      </c>
      <c r="P16" s="144">
        <v>0</v>
      </c>
      <c r="Q16" s="144">
        <v>0</v>
      </c>
      <c r="R16" s="144">
        <v>0</v>
      </c>
      <c r="S16" s="144">
        <v>0</v>
      </c>
      <c r="T16" s="144">
        <v>0</v>
      </c>
      <c r="U16" s="144">
        <v>0</v>
      </c>
      <c r="V16" s="144">
        <v>0</v>
      </c>
      <c r="W16" s="144">
        <v>0</v>
      </c>
      <c r="X16" s="144">
        <v>0</v>
      </c>
      <c r="Y16" s="144">
        <v>0</v>
      </c>
      <c r="Z16" s="144">
        <v>0</v>
      </c>
      <c r="AA16" s="144">
        <f t="shared" si="7"/>
        <v>0</v>
      </c>
      <c r="AB16" s="146">
        <f t="shared" si="1"/>
        <v>0</v>
      </c>
    </row>
    <row r="17" spans="1:170" s="124" customFormat="1" ht="21" customHeight="1" x14ac:dyDescent="0.2">
      <c r="A17" s="139" t="s">
        <v>442</v>
      </c>
      <c r="B17" s="139" t="s">
        <v>443</v>
      </c>
      <c r="C17" s="140">
        <f>SUM(C18:C26)</f>
        <v>1136000</v>
      </c>
      <c r="D17" s="140">
        <f>SUM(D18:D26)</f>
        <v>1284800</v>
      </c>
      <c r="E17" s="140">
        <f>SUM(E18:E26)</f>
        <v>2618278</v>
      </c>
      <c r="F17" s="140">
        <f>SUM(F18:F26)</f>
        <v>913374</v>
      </c>
      <c r="G17" s="140">
        <f t="shared" ref="G17:Y17" si="11">G18+G19+G20+G21+G22+G23+G24+G25+G26</f>
        <v>567852</v>
      </c>
      <c r="H17" s="140">
        <f t="shared" si="11"/>
        <v>0</v>
      </c>
      <c r="I17" s="140">
        <f>+I18+I19+I20+I21+I22+I23+I24+I25+I26</f>
        <v>640000</v>
      </c>
      <c r="J17" s="140">
        <f>+J18+J19+J20+J21+J22+J23+J24+J25+J26</f>
        <v>0</v>
      </c>
      <c r="K17" s="140">
        <f>+K18+K19+K20+K21+K22+K23+K24+K25+K26</f>
        <v>0</v>
      </c>
      <c r="L17" s="140">
        <f>+L18+L19+L20+L21+L22+L23+L24+L25+L26</f>
        <v>0</v>
      </c>
      <c r="M17" s="140">
        <f>+M18+M19+M20+M21+M22+M23+M24+M25+M26</f>
        <v>150000</v>
      </c>
      <c r="N17" s="140">
        <f t="shared" si="11"/>
        <v>138436</v>
      </c>
      <c r="O17" s="140">
        <f t="shared" si="11"/>
        <v>10000</v>
      </c>
      <c r="P17" s="140">
        <f>+P18+P19+P20+P21+P22+P23+P24+P25+P26</f>
        <v>258480</v>
      </c>
      <c r="Q17" s="140">
        <f t="shared" si="11"/>
        <v>10000</v>
      </c>
      <c r="R17" s="140">
        <f t="shared" si="11"/>
        <v>0</v>
      </c>
      <c r="S17" s="140">
        <f t="shared" ref="S17:T17" si="12">+S18+S19+S20+S21+S22+S23+S24+S25+S26</f>
        <v>0</v>
      </c>
      <c r="T17" s="140">
        <f t="shared" si="12"/>
        <v>0</v>
      </c>
      <c r="U17" s="140">
        <f>+U18+U19+U20+U21+U22+U23+U24+U25+U26</f>
        <v>784916</v>
      </c>
      <c r="V17" s="140">
        <f t="shared" ref="V17:X17" si="13">+V18+V19+V20+V21+V22+V23+V24+V25+V26</f>
        <v>0</v>
      </c>
      <c r="W17" s="140">
        <f t="shared" si="13"/>
        <v>0</v>
      </c>
      <c r="X17" s="140">
        <f t="shared" si="13"/>
        <v>60000</v>
      </c>
      <c r="Y17" s="140">
        <f t="shared" si="11"/>
        <v>589940</v>
      </c>
      <c r="Z17" s="140">
        <f>+SUM(Z18:Z26)</f>
        <v>75892</v>
      </c>
      <c r="AA17" s="140">
        <f t="shared" si="7"/>
        <v>9237968</v>
      </c>
      <c r="AB17" s="141">
        <f t="shared" si="1"/>
        <v>2.0271809212815205E-2</v>
      </c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</row>
    <row r="18" spans="1:170" s="112" customFormat="1" ht="21.75" customHeight="1" x14ac:dyDescent="0.2">
      <c r="A18" s="143" t="s">
        <v>444</v>
      </c>
      <c r="B18" s="143" t="s">
        <v>445</v>
      </c>
      <c r="C18" s="144"/>
      <c r="D18" s="144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0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  <c r="O18" s="144">
        <v>0</v>
      </c>
      <c r="P18" s="144">
        <v>0</v>
      </c>
      <c r="Q18" s="144">
        <v>0</v>
      </c>
      <c r="R18" s="144">
        <v>0</v>
      </c>
      <c r="S18" s="144">
        <v>0</v>
      </c>
      <c r="T18" s="144">
        <v>0</v>
      </c>
      <c r="U18" s="144">
        <v>0</v>
      </c>
      <c r="V18" s="144">
        <v>0</v>
      </c>
      <c r="W18" s="144">
        <v>0</v>
      </c>
      <c r="X18" s="144"/>
      <c r="Y18" s="144">
        <v>0</v>
      </c>
      <c r="Z18" s="144">
        <v>0</v>
      </c>
      <c r="AA18" s="145">
        <f t="shared" si="7"/>
        <v>0</v>
      </c>
      <c r="AB18" s="146">
        <f t="shared" si="1"/>
        <v>0</v>
      </c>
    </row>
    <row r="19" spans="1:170" s="112" customFormat="1" ht="25.5" customHeight="1" x14ac:dyDescent="0.2">
      <c r="A19" s="143" t="s">
        <v>447</v>
      </c>
      <c r="B19" s="143" t="s">
        <v>448</v>
      </c>
      <c r="C19" s="144">
        <v>0</v>
      </c>
      <c r="D19" s="144">
        <v>840000</v>
      </c>
      <c r="E19" s="144">
        <v>428406</v>
      </c>
      <c r="F19" s="144">
        <v>454398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0</v>
      </c>
      <c r="R19" s="144">
        <v>0</v>
      </c>
      <c r="S19" s="144">
        <v>0</v>
      </c>
      <c r="T19" s="144">
        <v>0</v>
      </c>
      <c r="U19" s="144">
        <v>0</v>
      </c>
      <c r="V19" s="144">
        <v>0</v>
      </c>
      <c r="W19" s="144">
        <v>0</v>
      </c>
      <c r="X19" s="144"/>
      <c r="Y19" s="144">
        <v>0</v>
      </c>
      <c r="Z19" s="144">
        <v>0</v>
      </c>
      <c r="AA19" s="145">
        <f t="shared" si="7"/>
        <v>1722804</v>
      </c>
      <c r="AB19" s="146">
        <f t="shared" si="1"/>
        <v>3.7805233790672243E-3</v>
      </c>
    </row>
    <row r="20" spans="1:170" s="112" customFormat="1" ht="21" customHeight="1" x14ac:dyDescent="0.2">
      <c r="A20" s="143" t="s">
        <v>449</v>
      </c>
      <c r="B20" s="143" t="s">
        <v>450</v>
      </c>
      <c r="C20" s="144">
        <v>0</v>
      </c>
      <c r="D20" s="144">
        <v>244800</v>
      </c>
      <c r="E20" s="144">
        <v>0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44">
        <v>0</v>
      </c>
      <c r="P20" s="144">
        <v>0</v>
      </c>
      <c r="Q20" s="144">
        <v>0</v>
      </c>
      <c r="R20" s="144">
        <v>0</v>
      </c>
      <c r="S20" s="144">
        <v>0</v>
      </c>
      <c r="T20" s="144">
        <v>0</v>
      </c>
      <c r="U20" s="144">
        <v>0</v>
      </c>
      <c r="V20" s="144">
        <v>0</v>
      </c>
      <c r="W20" s="144">
        <v>0</v>
      </c>
      <c r="X20" s="144"/>
      <c r="Y20" s="144">
        <v>0</v>
      </c>
      <c r="Z20" s="144">
        <v>0</v>
      </c>
      <c r="AA20" s="145">
        <f t="shared" si="7"/>
        <v>244800</v>
      </c>
      <c r="AB20" s="146">
        <f t="shared" si="1"/>
        <v>5.3718944418265603E-4</v>
      </c>
    </row>
    <row r="21" spans="1:170" s="112" customFormat="1" ht="21.75" customHeight="1" x14ac:dyDescent="0.2">
      <c r="A21" s="143" t="s">
        <v>452</v>
      </c>
      <c r="B21" s="143" t="s">
        <v>453</v>
      </c>
      <c r="C21" s="144">
        <v>900000</v>
      </c>
      <c r="D21" s="144">
        <v>0</v>
      </c>
      <c r="E21" s="144">
        <v>664380</v>
      </c>
      <c r="F21" s="144">
        <v>133668</v>
      </c>
      <c r="G21" s="144">
        <v>0</v>
      </c>
      <c r="H21" s="144">
        <v>0</v>
      </c>
      <c r="I21" s="144">
        <v>540000</v>
      </c>
      <c r="J21" s="144">
        <v>0</v>
      </c>
      <c r="K21" s="144">
        <v>0</v>
      </c>
      <c r="L21" s="144">
        <v>0</v>
      </c>
      <c r="M21" s="144">
        <v>0</v>
      </c>
      <c r="N21" s="144">
        <v>0</v>
      </c>
      <c r="O21" s="144">
        <v>0</v>
      </c>
      <c r="P21" s="144">
        <v>0</v>
      </c>
      <c r="Q21" s="144">
        <v>0</v>
      </c>
      <c r="R21" s="144">
        <v>0</v>
      </c>
      <c r="S21" s="144">
        <v>0</v>
      </c>
      <c r="T21" s="144">
        <v>0</v>
      </c>
      <c r="U21" s="144">
        <v>0</v>
      </c>
      <c r="V21" s="144">
        <v>0</v>
      </c>
      <c r="W21" s="144">
        <v>0</v>
      </c>
      <c r="X21" s="144">
        <v>60000</v>
      </c>
      <c r="Y21" s="144">
        <v>0</v>
      </c>
      <c r="Z21" s="144">
        <v>0</v>
      </c>
      <c r="AA21" s="145">
        <f t="shared" si="7"/>
        <v>2298048</v>
      </c>
      <c r="AB21" s="146">
        <f t="shared" si="1"/>
        <v>5.0428395744487918E-3</v>
      </c>
    </row>
    <row r="22" spans="1:170" s="112" customFormat="1" ht="19.5" customHeight="1" x14ac:dyDescent="0.2">
      <c r="A22" s="143" t="s">
        <v>454</v>
      </c>
      <c r="B22" s="143" t="s">
        <v>455</v>
      </c>
      <c r="C22" s="144">
        <v>0</v>
      </c>
      <c r="D22" s="144">
        <v>0</v>
      </c>
      <c r="E22" s="144">
        <v>745492</v>
      </c>
      <c r="F22" s="144">
        <v>325308</v>
      </c>
      <c r="G22" s="144">
        <v>467852</v>
      </c>
      <c r="H22" s="144">
        <v>0</v>
      </c>
      <c r="I22" s="144">
        <v>100000</v>
      </c>
      <c r="J22" s="144"/>
      <c r="K22" s="144">
        <v>0</v>
      </c>
      <c r="L22" s="144">
        <v>0</v>
      </c>
      <c r="M22" s="144">
        <v>150000</v>
      </c>
      <c r="N22" s="144">
        <v>108436</v>
      </c>
      <c r="O22" s="144">
        <v>10000</v>
      </c>
      <c r="P22" s="144">
        <v>258480</v>
      </c>
      <c r="Q22" s="144">
        <v>10000</v>
      </c>
      <c r="R22" s="144">
        <v>0</v>
      </c>
      <c r="S22" s="144">
        <v>0</v>
      </c>
      <c r="T22" s="144">
        <v>0</v>
      </c>
      <c r="U22" s="144">
        <v>784916</v>
      </c>
      <c r="V22" s="144">
        <v>0</v>
      </c>
      <c r="W22" s="144">
        <v>0</v>
      </c>
      <c r="X22" s="144"/>
      <c r="Y22" s="144">
        <v>589940</v>
      </c>
      <c r="Z22" s="144">
        <v>75892</v>
      </c>
      <c r="AA22" s="145">
        <f t="shared" si="7"/>
        <v>3626316</v>
      </c>
      <c r="AB22" s="146">
        <f t="shared" si="1"/>
        <v>7.9575926326416364E-3</v>
      </c>
    </row>
    <row r="23" spans="1:170" s="112" customFormat="1" ht="20.25" customHeight="1" x14ac:dyDescent="0.2">
      <c r="A23" s="143" t="s">
        <v>456</v>
      </c>
      <c r="B23" s="143" t="s">
        <v>457</v>
      </c>
      <c r="C23" s="144">
        <v>200000</v>
      </c>
      <c r="D23" s="144">
        <v>200000</v>
      </c>
      <c r="E23" s="144">
        <v>80000</v>
      </c>
      <c r="F23" s="144">
        <v>0</v>
      </c>
      <c r="G23" s="144">
        <v>0</v>
      </c>
      <c r="H23" s="144">
        <v>0</v>
      </c>
      <c r="I23" s="144">
        <v>0</v>
      </c>
      <c r="J23" s="144">
        <v>0</v>
      </c>
      <c r="K23" s="144">
        <v>0</v>
      </c>
      <c r="L23" s="144">
        <v>0</v>
      </c>
      <c r="M23" s="144">
        <v>0</v>
      </c>
      <c r="N23" s="144">
        <v>30000</v>
      </c>
      <c r="O23" s="144">
        <v>0</v>
      </c>
      <c r="P23" s="144">
        <v>0</v>
      </c>
      <c r="Q23" s="144">
        <v>0</v>
      </c>
      <c r="R23" s="144">
        <v>0</v>
      </c>
      <c r="S23" s="144">
        <v>0</v>
      </c>
      <c r="T23" s="144">
        <v>0</v>
      </c>
      <c r="U23" s="144">
        <v>0</v>
      </c>
      <c r="V23" s="144">
        <v>0</v>
      </c>
      <c r="W23" s="144">
        <v>0</v>
      </c>
      <c r="X23" s="144"/>
      <c r="Y23" s="144">
        <v>0</v>
      </c>
      <c r="Z23" s="144">
        <v>0</v>
      </c>
      <c r="AA23" s="145">
        <f t="shared" si="7"/>
        <v>510000</v>
      </c>
      <c r="AB23" s="146">
        <f t="shared" si="1"/>
        <v>1.1191446753805335E-3</v>
      </c>
    </row>
    <row r="24" spans="1:170" s="112" customFormat="1" ht="21.75" customHeight="1" x14ac:dyDescent="0.2">
      <c r="A24" s="150" t="s">
        <v>458</v>
      </c>
      <c r="B24" s="150" t="s">
        <v>459</v>
      </c>
      <c r="C24" s="144">
        <v>0</v>
      </c>
      <c r="D24" s="144">
        <v>0</v>
      </c>
      <c r="E24" s="144">
        <v>200000</v>
      </c>
      <c r="F24" s="144">
        <v>0</v>
      </c>
      <c r="G24" s="633">
        <f>+GETPIVOTDATA("valor",Sheet1!$I$2,"rubrica","02.01.01.02.07","cc","Dir. Proteção Civil")</f>
        <v>100000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0</v>
      </c>
      <c r="N24" s="144">
        <v>0</v>
      </c>
      <c r="O24" s="144">
        <v>0</v>
      </c>
      <c r="P24" s="144">
        <v>0</v>
      </c>
      <c r="Q24" s="144">
        <v>0</v>
      </c>
      <c r="R24" s="144">
        <v>0</v>
      </c>
      <c r="S24" s="144">
        <v>0</v>
      </c>
      <c r="T24" s="144">
        <v>0</v>
      </c>
      <c r="U24" s="144">
        <v>0</v>
      </c>
      <c r="V24" s="144">
        <v>0</v>
      </c>
      <c r="W24" s="144">
        <v>0</v>
      </c>
      <c r="X24" s="144"/>
      <c r="Y24" s="144">
        <v>0</v>
      </c>
      <c r="Z24" s="144">
        <v>0</v>
      </c>
      <c r="AA24" s="145">
        <f t="shared" si="7"/>
        <v>300000</v>
      </c>
      <c r="AB24" s="146">
        <f t="shared" si="1"/>
        <v>6.5832039728266672E-4</v>
      </c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</row>
    <row r="25" spans="1:170" s="112" customFormat="1" ht="21.75" customHeight="1" x14ac:dyDescent="0.2">
      <c r="A25" s="150" t="s">
        <v>460</v>
      </c>
      <c r="B25" s="150" t="s">
        <v>461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4"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  <c r="W25" s="144">
        <v>0</v>
      </c>
      <c r="X25" s="144"/>
      <c r="Y25" s="144">
        <v>0</v>
      </c>
      <c r="Z25" s="144">
        <v>0</v>
      </c>
      <c r="AA25" s="145">
        <f t="shared" si="7"/>
        <v>0</v>
      </c>
      <c r="AB25" s="146">
        <f t="shared" si="1"/>
        <v>0</v>
      </c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</row>
    <row r="26" spans="1:170" s="112" customFormat="1" ht="21.75" customHeight="1" x14ac:dyDescent="0.2">
      <c r="A26" s="143" t="s">
        <v>462</v>
      </c>
      <c r="B26" s="143" t="s">
        <v>463</v>
      </c>
      <c r="C26" s="144">
        <v>36000</v>
      </c>
      <c r="D26" s="144">
        <v>0</v>
      </c>
      <c r="E26" s="144">
        <v>500000</v>
      </c>
      <c r="F26" s="144">
        <v>0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0</v>
      </c>
      <c r="M26" s="144">
        <v>0</v>
      </c>
      <c r="N26" s="144">
        <v>0</v>
      </c>
      <c r="O26" s="144">
        <v>0</v>
      </c>
      <c r="P26" s="144">
        <v>0</v>
      </c>
      <c r="Q26" s="144">
        <v>0</v>
      </c>
      <c r="R26" s="144">
        <v>0</v>
      </c>
      <c r="S26" s="144">
        <v>0</v>
      </c>
      <c r="T26" s="144">
        <v>0</v>
      </c>
      <c r="U26" s="144">
        <v>0</v>
      </c>
      <c r="V26" s="144">
        <v>0</v>
      </c>
      <c r="W26" s="144">
        <v>0</v>
      </c>
      <c r="X26" s="144"/>
      <c r="Y26" s="144">
        <v>0</v>
      </c>
      <c r="Z26" s="144">
        <v>0</v>
      </c>
      <c r="AA26" s="145">
        <f t="shared" si="7"/>
        <v>536000</v>
      </c>
      <c r="AB26" s="146">
        <f>AA26/$AA$9</f>
        <v>1.1761991098116979E-3</v>
      </c>
    </row>
    <row r="27" spans="1:170" s="124" customFormat="1" ht="20.25" customHeight="1" x14ac:dyDescent="0.2">
      <c r="A27" s="139" t="s">
        <v>464</v>
      </c>
      <c r="B27" s="139" t="s">
        <v>465</v>
      </c>
      <c r="C27" s="140">
        <f>SUM(C28:C33)</f>
        <v>0</v>
      </c>
      <c r="D27" s="140">
        <f>SUM(D28:D33)</f>
        <v>0</v>
      </c>
      <c r="E27" s="140">
        <f>SUM(E28:E33)</f>
        <v>0</v>
      </c>
      <c r="F27" s="140">
        <f>SUM(F28:F33)</f>
        <v>0</v>
      </c>
      <c r="G27" s="140">
        <f>G28+G29+G30+G31+G32+G33</f>
        <v>0</v>
      </c>
      <c r="H27" s="140">
        <f>H28+H29+H30+H31+H32+H33</f>
        <v>0</v>
      </c>
      <c r="I27" s="140">
        <f>+I28+I29+I30+I31+I32+I33</f>
        <v>0</v>
      </c>
      <c r="J27" s="140">
        <f>+J28+J29+J30+J31+J32+J33</f>
        <v>0</v>
      </c>
      <c r="K27" s="140">
        <f>+K28+K29+K30+K31+K32+K33</f>
        <v>0</v>
      </c>
      <c r="L27" s="140">
        <f>+L28+L29+L30+L31+L32+L33</f>
        <v>0</v>
      </c>
      <c r="M27" s="140">
        <f>+M28+M29+M30+M31+M32+M33</f>
        <v>0</v>
      </c>
      <c r="N27" s="140">
        <f t="shared" ref="N27:Y27" si="14">N28+N29+N30+N31+N32+N33</f>
        <v>0</v>
      </c>
      <c r="O27" s="140">
        <f t="shared" si="14"/>
        <v>1080000</v>
      </c>
      <c r="P27" s="140">
        <f t="shared" si="14"/>
        <v>0</v>
      </c>
      <c r="Q27" s="140">
        <f t="shared" si="14"/>
        <v>0</v>
      </c>
      <c r="R27" s="140">
        <f t="shared" si="14"/>
        <v>0</v>
      </c>
      <c r="S27" s="140">
        <f t="shared" si="14"/>
        <v>0</v>
      </c>
      <c r="T27" s="140">
        <f t="shared" ref="T27" si="15">+T28+T29+T30+T31+T32+T33</f>
        <v>0</v>
      </c>
      <c r="U27" s="140">
        <f>+U28+U29+U30+U31+U32+U33</f>
        <v>0</v>
      </c>
      <c r="V27" s="140">
        <f t="shared" ref="V27:X27" si="16">+V28+V29+V30+V31+V32+V33</f>
        <v>0</v>
      </c>
      <c r="W27" s="140">
        <f t="shared" si="16"/>
        <v>0</v>
      </c>
      <c r="X27" s="140">
        <f t="shared" si="16"/>
        <v>0</v>
      </c>
      <c r="Y27" s="140">
        <f t="shared" si="14"/>
        <v>0</v>
      </c>
      <c r="Z27" s="140">
        <f>+SUM(Z28:Z33)</f>
        <v>0</v>
      </c>
      <c r="AA27" s="140">
        <f t="shared" si="7"/>
        <v>1080000</v>
      </c>
      <c r="AB27" s="141">
        <f>AA27/$AA$9</f>
        <v>2.3699534302176E-3</v>
      </c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</row>
    <row r="28" spans="1:170" s="112" customFormat="1" ht="19.5" customHeight="1" x14ac:dyDescent="0.2">
      <c r="A28" s="150" t="s">
        <v>467</v>
      </c>
      <c r="B28" s="150" t="s">
        <v>468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500000</v>
      </c>
      <c r="P28" s="144">
        <v>0</v>
      </c>
      <c r="Q28" s="144">
        <v>0</v>
      </c>
      <c r="R28" s="144">
        <v>0</v>
      </c>
      <c r="S28" s="144">
        <v>0</v>
      </c>
      <c r="T28" s="144">
        <v>0</v>
      </c>
      <c r="U28" s="144">
        <v>0</v>
      </c>
      <c r="V28" s="144">
        <v>0</v>
      </c>
      <c r="W28" s="144">
        <v>0</v>
      </c>
      <c r="X28" s="144"/>
      <c r="Y28" s="144">
        <v>0</v>
      </c>
      <c r="Z28" s="144">
        <v>0</v>
      </c>
      <c r="AA28" s="145">
        <f t="shared" si="7"/>
        <v>500000</v>
      </c>
      <c r="AB28" s="152">
        <f t="shared" ref="AB28:AB67" si="17">AA28/$AA$9</f>
        <v>1.0972006621377778E-3</v>
      </c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</row>
    <row r="29" spans="1:170" s="112" customFormat="1" ht="20.25" customHeight="1" x14ac:dyDescent="0.2">
      <c r="A29" s="150" t="s">
        <v>469</v>
      </c>
      <c r="B29" s="150" t="s">
        <v>470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200000</v>
      </c>
      <c r="P29" s="144">
        <v>0</v>
      </c>
      <c r="Q29" s="144">
        <v>0</v>
      </c>
      <c r="R29" s="144">
        <v>0</v>
      </c>
      <c r="S29" s="144">
        <v>0</v>
      </c>
      <c r="T29" s="144">
        <v>0</v>
      </c>
      <c r="U29" s="144">
        <v>0</v>
      </c>
      <c r="V29" s="144">
        <v>0</v>
      </c>
      <c r="W29" s="144">
        <v>0</v>
      </c>
      <c r="X29" s="144"/>
      <c r="Y29" s="144">
        <v>0</v>
      </c>
      <c r="Z29" s="144">
        <v>0</v>
      </c>
      <c r="AA29" s="145">
        <f t="shared" si="7"/>
        <v>200000</v>
      </c>
      <c r="AB29" s="152">
        <f t="shared" si="17"/>
        <v>4.3888026485511115E-4</v>
      </c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</row>
    <row r="30" spans="1:170" s="112" customFormat="1" ht="19.5" customHeight="1" x14ac:dyDescent="0.2">
      <c r="A30" s="150" t="s">
        <v>472</v>
      </c>
      <c r="B30" s="150" t="s">
        <v>473</v>
      </c>
      <c r="C30" s="144">
        <v>0</v>
      </c>
      <c r="D30" s="144">
        <v>0</v>
      </c>
      <c r="E30" s="144">
        <v>0</v>
      </c>
      <c r="F30" s="144">
        <v>0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v>0</v>
      </c>
      <c r="R30" s="144">
        <v>0</v>
      </c>
      <c r="S30" s="144">
        <v>0</v>
      </c>
      <c r="T30" s="144">
        <v>0</v>
      </c>
      <c r="U30" s="144">
        <v>0</v>
      </c>
      <c r="V30" s="144">
        <v>0</v>
      </c>
      <c r="W30" s="144">
        <v>0</v>
      </c>
      <c r="X30" s="144"/>
      <c r="Y30" s="144">
        <v>0</v>
      </c>
      <c r="Z30" s="144">
        <v>0</v>
      </c>
      <c r="AA30" s="145">
        <f t="shared" si="7"/>
        <v>0</v>
      </c>
      <c r="AB30" s="152">
        <f t="shared" si="17"/>
        <v>0</v>
      </c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8"/>
      <c r="EA30" s="118"/>
      <c r="EB30" s="118"/>
      <c r="EC30" s="118"/>
      <c r="ED30" s="118"/>
      <c r="EE30" s="118"/>
      <c r="EF30" s="118"/>
      <c r="EG30" s="118"/>
      <c r="EH30" s="118"/>
      <c r="EI30" s="118"/>
      <c r="EJ30" s="118"/>
      <c r="EK30" s="118"/>
      <c r="EL30" s="118"/>
      <c r="EM30" s="118"/>
      <c r="EN30" s="118"/>
      <c r="EO30" s="118"/>
      <c r="EP30" s="118"/>
      <c r="EQ30" s="118"/>
      <c r="ER30" s="118"/>
      <c r="ES30" s="118"/>
      <c r="ET30" s="118"/>
      <c r="EU30" s="118"/>
      <c r="EV30" s="118"/>
      <c r="EW30" s="118"/>
      <c r="EX30" s="118"/>
      <c r="EY30" s="118"/>
      <c r="EZ30" s="118"/>
      <c r="FA30" s="118"/>
      <c r="FB30" s="118"/>
      <c r="FC30" s="118"/>
      <c r="FD30" s="118"/>
      <c r="FE30" s="118"/>
      <c r="FF30" s="118"/>
      <c r="FG30" s="118"/>
      <c r="FH30" s="118"/>
      <c r="FI30" s="118"/>
      <c r="FJ30" s="118"/>
      <c r="FK30" s="118"/>
      <c r="FL30" s="118"/>
      <c r="FM30" s="118"/>
      <c r="FN30" s="118"/>
    </row>
    <row r="31" spans="1:170" s="112" customFormat="1" ht="21.75" customHeight="1" x14ac:dyDescent="0.2">
      <c r="A31" s="150" t="s">
        <v>474</v>
      </c>
      <c r="B31" s="150" t="s">
        <v>475</v>
      </c>
      <c r="C31" s="144">
        <v>0</v>
      </c>
      <c r="D31" s="144">
        <v>0</v>
      </c>
      <c r="E31" s="144">
        <v>0</v>
      </c>
      <c r="F31" s="144">
        <v>0</v>
      </c>
      <c r="G31" s="144">
        <v>0</v>
      </c>
      <c r="H31" s="144">
        <v>0</v>
      </c>
      <c r="I31" s="144">
        <v>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250000</v>
      </c>
      <c r="P31" s="144">
        <v>0</v>
      </c>
      <c r="Q31" s="144">
        <v>0</v>
      </c>
      <c r="R31" s="144">
        <v>0</v>
      </c>
      <c r="S31" s="144">
        <v>0</v>
      </c>
      <c r="T31" s="144">
        <v>0</v>
      </c>
      <c r="U31" s="144">
        <v>0</v>
      </c>
      <c r="V31" s="144">
        <v>0</v>
      </c>
      <c r="W31" s="144">
        <v>0</v>
      </c>
      <c r="X31" s="144"/>
      <c r="Y31" s="144">
        <v>0</v>
      </c>
      <c r="Z31" s="144">
        <v>0</v>
      </c>
      <c r="AA31" s="145">
        <f t="shared" si="7"/>
        <v>250000</v>
      </c>
      <c r="AB31" s="152">
        <f t="shared" si="17"/>
        <v>5.4860033106888888E-4</v>
      </c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L31" s="118"/>
      <c r="FM31" s="118"/>
      <c r="FN31" s="118"/>
    </row>
    <row r="32" spans="1:170" s="112" customFormat="1" ht="19.5" customHeight="1" x14ac:dyDescent="0.2">
      <c r="A32" s="150" t="s">
        <v>476</v>
      </c>
      <c r="B32" s="150" t="s">
        <v>477</v>
      </c>
      <c r="C32" s="144">
        <v>0</v>
      </c>
      <c r="D32" s="144">
        <v>0</v>
      </c>
      <c r="E32" s="144">
        <v>0</v>
      </c>
      <c r="F32" s="144">
        <v>0</v>
      </c>
      <c r="G32" s="144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v>0</v>
      </c>
      <c r="M32" s="144">
        <v>0</v>
      </c>
      <c r="N32" s="144">
        <v>0</v>
      </c>
      <c r="O32" s="144">
        <v>30000</v>
      </c>
      <c r="P32" s="144">
        <v>0</v>
      </c>
      <c r="Q32" s="144">
        <v>0</v>
      </c>
      <c r="R32" s="144">
        <v>0</v>
      </c>
      <c r="S32" s="144">
        <v>0</v>
      </c>
      <c r="T32" s="144">
        <v>0</v>
      </c>
      <c r="U32" s="144">
        <v>0</v>
      </c>
      <c r="V32" s="144">
        <v>0</v>
      </c>
      <c r="W32" s="144">
        <v>0</v>
      </c>
      <c r="X32" s="144"/>
      <c r="Y32" s="144">
        <v>0</v>
      </c>
      <c r="Z32" s="144">
        <v>0</v>
      </c>
      <c r="AA32" s="145">
        <f t="shared" si="7"/>
        <v>30000</v>
      </c>
      <c r="AB32" s="152">
        <f t="shared" si="17"/>
        <v>6.5832039728266672E-5</v>
      </c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</row>
    <row r="33" spans="1:170" s="112" customFormat="1" ht="21.75" customHeight="1" x14ac:dyDescent="0.2">
      <c r="A33" s="150" t="s">
        <v>478</v>
      </c>
      <c r="B33" s="150" t="s">
        <v>479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100000</v>
      </c>
      <c r="P33" s="144">
        <v>0</v>
      </c>
      <c r="Q33" s="144">
        <v>0</v>
      </c>
      <c r="R33" s="144">
        <v>0</v>
      </c>
      <c r="S33" s="144">
        <v>0</v>
      </c>
      <c r="T33" s="144">
        <v>0</v>
      </c>
      <c r="U33" s="144">
        <v>0</v>
      </c>
      <c r="V33" s="144">
        <v>0</v>
      </c>
      <c r="W33" s="144">
        <v>0</v>
      </c>
      <c r="X33" s="144"/>
      <c r="Y33" s="144">
        <v>0</v>
      </c>
      <c r="Z33" s="144">
        <v>0</v>
      </c>
      <c r="AA33" s="145">
        <f t="shared" si="7"/>
        <v>100000</v>
      </c>
      <c r="AB33" s="152">
        <f t="shared" si="17"/>
        <v>2.1944013242755557E-4</v>
      </c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  <c r="FK33" s="118"/>
      <c r="FL33" s="118"/>
      <c r="FM33" s="118"/>
      <c r="FN33" s="118"/>
    </row>
    <row r="34" spans="1:170" s="112" customFormat="1" ht="36.75" customHeight="1" x14ac:dyDescent="0.2">
      <c r="A34" s="134" t="s">
        <v>480</v>
      </c>
      <c r="B34" s="135" t="s">
        <v>481</v>
      </c>
      <c r="C34" s="136">
        <f t="shared" ref="C34:H34" si="18">C35</f>
        <v>0</v>
      </c>
      <c r="D34" s="136">
        <f t="shared" si="18"/>
        <v>0</v>
      </c>
      <c r="E34" s="136">
        <f t="shared" si="18"/>
        <v>8027000</v>
      </c>
      <c r="F34" s="136">
        <f t="shared" si="18"/>
        <v>52800</v>
      </c>
      <c r="G34" s="136">
        <f t="shared" si="18"/>
        <v>0</v>
      </c>
      <c r="H34" s="136">
        <f t="shared" si="18"/>
        <v>0</v>
      </c>
      <c r="I34" s="136">
        <f>+I35</f>
        <v>0</v>
      </c>
      <c r="J34" s="136">
        <f>+J35</f>
        <v>7200</v>
      </c>
      <c r="K34" s="136">
        <f>+K35</f>
        <v>0</v>
      </c>
      <c r="L34" s="136">
        <f>+L35</f>
        <v>0</v>
      </c>
      <c r="M34" s="136">
        <f>+M35</f>
        <v>30000</v>
      </c>
      <c r="N34" s="136">
        <f>N35</f>
        <v>24000</v>
      </c>
      <c r="O34" s="136">
        <f>O35</f>
        <v>140000</v>
      </c>
      <c r="P34" s="136">
        <f>+P35+P36+P37+P38+P39</f>
        <v>0</v>
      </c>
      <c r="Q34" s="136">
        <f>Q35</f>
        <v>15000</v>
      </c>
      <c r="R34" s="136">
        <f t="shared" ref="R34:S34" si="19">R35</f>
        <v>0</v>
      </c>
      <c r="S34" s="136">
        <f t="shared" si="19"/>
        <v>0</v>
      </c>
      <c r="T34" s="136">
        <v>0</v>
      </c>
      <c r="U34" s="136">
        <f>+U35</f>
        <v>7200</v>
      </c>
      <c r="V34" s="136">
        <f t="shared" ref="V34:X34" si="20">+V35</f>
        <v>0</v>
      </c>
      <c r="W34" s="136">
        <f t="shared" si="20"/>
        <v>0</v>
      </c>
      <c r="X34" s="136">
        <f t="shared" si="20"/>
        <v>0</v>
      </c>
      <c r="Y34" s="136">
        <f>Y35</f>
        <v>24000</v>
      </c>
      <c r="Z34" s="136">
        <f>Z35</f>
        <v>2400</v>
      </c>
      <c r="AA34" s="136">
        <f t="shared" si="7"/>
        <v>8329600</v>
      </c>
      <c r="AB34" s="137">
        <f t="shared" si="17"/>
        <v>1.8278485270685669E-2</v>
      </c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/>
      <c r="EC34" s="118"/>
      <c r="ED34" s="118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  <c r="FK34" s="118"/>
      <c r="FL34" s="118"/>
      <c r="FM34" s="118"/>
      <c r="FN34" s="118"/>
    </row>
    <row r="35" spans="1:170" s="112" customFormat="1" ht="34.5" customHeight="1" x14ac:dyDescent="0.2">
      <c r="A35" s="153" t="s">
        <v>482</v>
      </c>
      <c r="B35" s="154" t="s">
        <v>481</v>
      </c>
      <c r="C35" s="155">
        <f>SUM(C36:C39)</f>
        <v>0</v>
      </c>
      <c r="D35" s="155">
        <f>SUM(D36:D39)</f>
        <v>0</v>
      </c>
      <c r="E35" s="155">
        <f>SUM(E36:E39)</f>
        <v>8027000</v>
      </c>
      <c r="F35" s="155">
        <f t="shared" ref="F35:V35" si="21">SUM(F36:F39)</f>
        <v>52800</v>
      </c>
      <c r="G35" s="155">
        <f t="shared" si="21"/>
        <v>0</v>
      </c>
      <c r="H35" s="155">
        <f t="shared" si="21"/>
        <v>0</v>
      </c>
      <c r="I35" s="155">
        <f t="shared" si="21"/>
        <v>0</v>
      </c>
      <c r="J35" s="155">
        <f t="shared" si="21"/>
        <v>7200</v>
      </c>
      <c r="K35" s="155">
        <f t="shared" si="21"/>
        <v>0</v>
      </c>
      <c r="L35" s="155">
        <f t="shared" si="21"/>
        <v>0</v>
      </c>
      <c r="M35" s="155">
        <f t="shared" si="21"/>
        <v>30000</v>
      </c>
      <c r="N35" s="155">
        <f t="shared" si="21"/>
        <v>24000</v>
      </c>
      <c r="O35" s="155">
        <f t="shared" si="21"/>
        <v>140000</v>
      </c>
      <c r="P35" s="155">
        <f t="shared" si="21"/>
        <v>0</v>
      </c>
      <c r="Q35" s="155">
        <f t="shared" si="21"/>
        <v>15000</v>
      </c>
      <c r="R35" s="155">
        <f t="shared" si="21"/>
        <v>0</v>
      </c>
      <c r="S35" s="155">
        <f t="shared" si="21"/>
        <v>0</v>
      </c>
      <c r="T35" s="155">
        <f t="shared" si="21"/>
        <v>0</v>
      </c>
      <c r="U35" s="155">
        <f t="shared" si="21"/>
        <v>7200</v>
      </c>
      <c r="V35" s="155">
        <f t="shared" si="21"/>
        <v>0</v>
      </c>
      <c r="W35" s="155">
        <f t="shared" ref="W35:X35" si="22">+W38</f>
        <v>0</v>
      </c>
      <c r="X35" s="155">
        <f t="shared" si="22"/>
        <v>0</v>
      </c>
      <c r="Y35" s="155">
        <f t="shared" ref="Y35" si="23">Y36+Y37+Y38+Y39</f>
        <v>24000</v>
      </c>
      <c r="Z35" s="155">
        <f>+SUM(Z36:Z39)</f>
        <v>2400</v>
      </c>
      <c r="AA35" s="155">
        <f t="shared" si="7"/>
        <v>8329600</v>
      </c>
      <c r="AB35" s="156">
        <f t="shared" si="17"/>
        <v>1.8278485270685669E-2</v>
      </c>
    </row>
    <row r="36" spans="1:170" s="112" customFormat="1" ht="32.25" customHeight="1" x14ac:dyDescent="0.2">
      <c r="A36" s="143" t="s">
        <v>483</v>
      </c>
      <c r="B36" s="157" t="s">
        <v>484</v>
      </c>
      <c r="C36" s="144">
        <v>0</v>
      </c>
      <c r="D36" s="144">
        <v>0</v>
      </c>
      <c r="E36" s="144">
        <v>8000000</v>
      </c>
      <c r="F36" s="144">
        <v>0</v>
      </c>
      <c r="G36" s="144">
        <v>0</v>
      </c>
      <c r="H36" s="144">
        <v>0</v>
      </c>
      <c r="I36" s="144">
        <v>0</v>
      </c>
      <c r="J36" s="144">
        <v>0</v>
      </c>
      <c r="K36" s="144">
        <v>0</v>
      </c>
      <c r="L36" s="144">
        <v>0</v>
      </c>
      <c r="M36" s="144">
        <v>0</v>
      </c>
      <c r="N36" s="144">
        <v>0</v>
      </c>
      <c r="O36" s="144">
        <v>0</v>
      </c>
      <c r="P36" s="144">
        <v>0</v>
      </c>
      <c r="Q36" s="144">
        <v>0</v>
      </c>
      <c r="R36" s="144">
        <v>0</v>
      </c>
      <c r="S36" s="144">
        <v>0</v>
      </c>
      <c r="T36" s="144">
        <v>0</v>
      </c>
      <c r="U36" s="144">
        <v>0</v>
      </c>
      <c r="V36" s="144">
        <v>0</v>
      </c>
      <c r="W36" s="144">
        <v>0</v>
      </c>
      <c r="X36" s="144"/>
      <c r="Y36" s="144">
        <v>0</v>
      </c>
      <c r="Z36" s="144">
        <v>0</v>
      </c>
      <c r="AA36" s="145">
        <f t="shared" si="7"/>
        <v>8000000</v>
      </c>
      <c r="AB36" s="146">
        <f t="shared" si="17"/>
        <v>1.7555210594204444E-2</v>
      </c>
    </row>
    <row r="37" spans="1:170" s="112" customFormat="1" ht="21" customHeight="1" x14ac:dyDescent="0.2">
      <c r="A37" s="143" t="s">
        <v>485</v>
      </c>
      <c r="B37" s="143" t="s">
        <v>486</v>
      </c>
      <c r="C37" s="144">
        <v>0</v>
      </c>
      <c r="D37" s="144">
        <v>0</v>
      </c>
      <c r="E37" s="144">
        <v>0</v>
      </c>
      <c r="F37" s="144">
        <v>0</v>
      </c>
      <c r="G37" s="144">
        <v>0</v>
      </c>
      <c r="H37" s="144">
        <v>0</v>
      </c>
      <c r="I37" s="144">
        <v>0</v>
      </c>
      <c r="J37" s="144">
        <v>0</v>
      </c>
      <c r="K37" s="144">
        <v>0</v>
      </c>
      <c r="L37" s="144">
        <v>0</v>
      </c>
      <c r="M37" s="144">
        <v>0</v>
      </c>
      <c r="N37" s="144">
        <v>0</v>
      </c>
      <c r="O37" s="144">
        <v>0</v>
      </c>
      <c r="P37" s="144">
        <v>0</v>
      </c>
      <c r="Q37" s="144">
        <v>0</v>
      </c>
      <c r="R37" s="144">
        <v>0</v>
      </c>
      <c r="S37" s="144">
        <v>0</v>
      </c>
      <c r="T37" s="144">
        <v>0</v>
      </c>
      <c r="U37" s="144">
        <v>0</v>
      </c>
      <c r="V37" s="144">
        <v>0</v>
      </c>
      <c r="W37" s="144">
        <v>0</v>
      </c>
      <c r="X37" s="144"/>
      <c r="Y37" s="144">
        <v>0</v>
      </c>
      <c r="Z37" s="144">
        <v>0</v>
      </c>
      <c r="AA37" s="145">
        <f t="shared" si="7"/>
        <v>0</v>
      </c>
      <c r="AB37" s="146">
        <f t="shared" si="17"/>
        <v>0</v>
      </c>
    </row>
    <row r="38" spans="1:170" s="112" customFormat="1" ht="20.25" customHeight="1" x14ac:dyDescent="0.2">
      <c r="A38" s="143" t="s">
        <v>488</v>
      </c>
      <c r="B38" s="143" t="s">
        <v>489</v>
      </c>
      <c r="C38" s="144">
        <v>0</v>
      </c>
      <c r="D38" s="144">
        <v>0</v>
      </c>
      <c r="E38" s="144">
        <v>27000</v>
      </c>
      <c r="F38" s="144">
        <v>52800</v>
      </c>
      <c r="G38" s="144">
        <v>0</v>
      </c>
      <c r="H38" s="144">
        <v>0</v>
      </c>
      <c r="I38" s="144">
        <v>0</v>
      </c>
      <c r="J38" s="144">
        <v>7200</v>
      </c>
      <c r="K38" s="144">
        <v>0</v>
      </c>
      <c r="L38" s="144">
        <v>0</v>
      </c>
      <c r="M38" s="144">
        <v>30000</v>
      </c>
      <c r="N38" s="144">
        <v>24000</v>
      </c>
      <c r="O38" s="144">
        <v>140000</v>
      </c>
      <c r="P38" s="144">
        <v>0</v>
      </c>
      <c r="Q38" s="144">
        <v>15000</v>
      </c>
      <c r="R38" s="144">
        <v>0</v>
      </c>
      <c r="S38" s="144">
        <v>0</v>
      </c>
      <c r="T38" s="144"/>
      <c r="U38" s="144">
        <v>7200</v>
      </c>
      <c r="V38" s="144">
        <v>0</v>
      </c>
      <c r="W38" s="144">
        <v>0</v>
      </c>
      <c r="X38" s="144"/>
      <c r="Y38" s="144">
        <v>24000</v>
      </c>
      <c r="Z38" s="144">
        <v>2400</v>
      </c>
      <c r="AA38" s="145">
        <f t="shared" si="7"/>
        <v>329600</v>
      </c>
      <c r="AB38" s="146">
        <f t="shared" si="17"/>
        <v>7.2327467648122313E-4</v>
      </c>
    </row>
    <row r="39" spans="1:170" s="112" customFormat="1" ht="21" customHeight="1" x14ac:dyDescent="0.2">
      <c r="A39" s="150" t="s">
        <v>490</v>
      </c>
      <c r="B39" s="150" t="s">
        <v>491</v>
      </c>
      <c r="C39" s="144">
        <v>0</v>
      </c>
      <c r="D39" s="144">
        <v>0</v>
      </c>
      <c r="E39" s="144">
        <v>0</v>
      </c>
      <c r="F39" s="144">
        <v>0</v>
      </c>
      <c r="G39" s="144">
        <v>0</v>
      </c>
      <c r="H39" s="144">
        <v>0</v>
      </c>
      <c r="I39" s="144">
        <v>0</v>
      </c>
      <c r="J39" s="144">
        <v>0</v>
      </c>
      <c r="K39" s="144">
        <v>0</v>
      </c>
      <c r="L39" s="144">
        <v>0</v>
      </c>
      <c r="M39" s="144">
        <v>0</v>
      </c>
      <c r="N39" s="144">
        <v>0</v>
      </c>
      <c r="O39" s="144">
        <v>0</v>
      </c>
      <c r="P39" s="144">
        <v>0</v>
      </c>
      <c r="Q39" s="144">
        <v>0</v>
      </c>
      <c r="R39" s="144">
        <v>0</v>
      </c>
      <c r="S39" s="144">
        <v>0</v>
      </c>
      <c r="T39" s="144">
        <v>0</v>
      </c>
      <c r="U39" s="144">
        <v>0</v>
      </c>
      <c r="V39" s="144">
        <v>0</v>
      </c>
      <c r="W39" s="144">
        <v>0</v>
      </c>
      <c r="X39" s="144"/>
      <c r="Y39" s="144">
        <v>0</v>
      </c>
      <c r="Z39" s="144">
        <v>0</v>
      </c>
      <c r="AA39" s="145">
        <f t="shared" si="7"/>
        <v>0</v>
      </c>
      <c r="AB39" s="146">
        <f t="shared" si="17"/>
        <v>0</v>
      </c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  <c r="CO39" s="118"/>
      <c r="CP39" s="118"/>
      <c r="CQ39" s="118"/>
      <c r="CR39" s="118"/>
      <c r="CS39" s="118"/>
      <c r="CT39" s="118"/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  <c r="DH39" s="118"/>
      <c r="DI39" s="118"/>
      <c r="DJ39" s="118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  <c r="DU39" s="118"/>
      <c r="DV39" s="118"/>
      <c r="DW39" s="118"/>
      <c r="DX39" s="118"/>
      <c r="DY39" s="118"/>
      <c r="DZ39" s="118"/>
      <c r="EA39" s="118"/>
      <c r="EB39" s="118"/>
      <c r="EC39" s="118"/>
      <c r="ED39" s="118"/>
      <c r="EE39" s="118"/>
      <c r="EF39" s="118"/>
      <c r="EG39" s="118"/>
      <c r="EH39" s="118"/>
      <c r="EI39" s="118"/>
      <c r="EJ39" s="118"/>
      <c r="EK39" s="118"/>
      <c r="EL39" s="118"/>
      <c r="EM39" s="118"/>
      <c r="EN39" s="118"/>
      <c r="EO39" s="118"/>
      <c r="EP39" s="118"/>
      <c r="EQ39" s="118"/>
      <c r="ER39" s="118"/>
      <c r="ES39" s="118"/>
      <c r="ET39" s="118"/>
      <c r="EU39" s="118"/>
      <c r="EV39" s="118"/>
      <c r="EW39" s="118"/>
      <c r="EX39" s="118"/>
      <c r="EY39" s="118"/>
      <c r="EZ39" s="118"/>
      <c r="FA39" s="118"/>
      <c r="FB39" s="118"/>
      <c r="FC39" s="118"/>
      <c r="FD39" s="118"/>
      <c r="FE39" s="118"/>
      <c r="FF39" s="118"/>
      <c r="FG39" s="118"/>
      <c r="FH39" s="118"/>
      <c r="FI39" s="118"/>
      <c r="FJ39" s="118"/>
      <c r="FK39" s="118"/>
      <c r="FL39" s="118"/>
      <c r="FM39" s="118"/>
      <c r="FN39" s="118"/>
    </row>
    <row r="40" spans="1:170" s="133" customFormat="1" ht="21.75" customHeight="1" x14ac:dyDescent="0.2">
      <c r="A40" s="158" t="s">
        <v>492</v>
      </c>
      <c r="B40" s="158" t="s">
        <v>493</v>
      </c>
      <c r="C40" s="159">
        <f t="shared" ref="C40:Z40" si="24">C41+C55</f>
        <v>1050000</v>
      </c>
      <c r="D40" s="159">
        <f t="shared" si="24"/>
        <v>1363200</v>
      </c>
      <c r="E40" s="159">
        <f t="shared" si="24"/>
        <v>21350000</v>
      </c>
      <c r="F40" s="159">
        <f t="shared" si="24"/>
        <v>60000</v>
      </c>
      <c r="G40" s="159">
        <f t="shared" si="24"/>
        <v>60000</v>
      </c>
      <c r="H40" s="159">
        <f t="shared" si="24"/>
        <v>0</v>
      </c>
      <c r="I40" s="159">
        <f>+I41+I55</f>
        <v>326880</v>
      </c>
      <c r="J40" s="159">
        <f>+J41+J55</f>
        <v>40000</v>
      </c>
      <c r="K40" s="159">
        <f>+K41+K55</f>
        <v>2426880</v>
      </c>
      <c r="L40" s="159">
        <f>+L41+L55</f>
        <v>446880</v>
      </c>
      <c r="M40" s="159">
        <f>+M41+M55</f>
        <v>70000</v>
      </c>
      <c r="N40" s="159">
        <f t="shared" si="24"/>
        <v>130000</v>
      </c>
      <c r="O40" s="159">
        <f t="shared" si="24"/>
        <v>446880</v>
      </c>
      <c r="P40" s="159">
        <f>+P41+P55</f>
        <v>60000</v>
      </c>
      <c r="Q40" s="159">
        <f t="shared" si="24"/>
        <v>275000</v>
      </c>
      <c r="R40" s="159">
        <f>+R41+R55</f>
        <v>30000</v>
      </c>
      <c r="S40" s="159">
        <f t="shared" ref="S40:T40" si="25">+S41+S55</f>
        <v>25000</v>
      </c>
      <c r="T40" s="159">
        <f t="shared" si="25"/>
        <v>200000</v>
      </c>
      <c r="U40" s="159">
        <f>+U41+U55</f>
        <v>25000</v>
      </c>
      <c r="V40" s="159">
        <f t="shared" ref="V40:X40" si="26">+V41+V55</f>
        <v>200000</v>
      </c>
      <c r="W40" s="159">
        <f t="shared" si="26"/>
        <v>200000</v>
      </c>
      <c r="X40" s="159">
        <f t="shared" si="26"/>
        <v>0</v>
      </c>
      <c r="Y40" s="159">
        <f t="shared" si="24"/>
        <v>3846880</v>
      </c>
      <c r="Z40" s="159">
        <f t="shared" si="24"/>
        <v>266880</v>
      </c>
      <c r="AA40" s="159">
        <f t="shared" si="7"/>
        <v>32899480</v>
      </c>
      <c r="AB40" s="131">
        <f t="shared" si="17"/>
        <v>7.2194662479977162E-2</v>
      </c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  <c r="CO40" s="112"/>
      <c r="CP40" s="112"/>
      <c r="CQ40" s="112"/>
      <c r="CR40" s="112"/>
      <c r="CS40" s="112"/>
      <c r="CT40" s="112"/>
      <c r="CU40" s="112"/>
      <c r="CV40" s="112"/>
      <c r="CW40" s="112"/>
      <c r="CX40" s="112"/>
      <c r="CY40" s="112"/>
      <c r="CZ40" s="112"/>
      <c r="DA40" s="112"/>
      <c r="DB40" s="112"/>
      <c r="DC40" s="112"/>
      <c r="DD40" s="112"/>
      <c r="DE40" s="112"/>
      <c r="DF40" s="112"/>
      <c r="DG40" s="112"/>
      <c r="DH40" s="112"/>
      <c r="DI40" s="112"/>
      <c r="DJ40" s="112"/>
      <c r="DK40" s="112"/>
      <c r="DL40" s="112"/>
      <c r="DM40" s="112"/>
      <c r="DN40" s="112"/>
      <c r="DO40" s="112"/>
      <c r="DP40" s="112"/>
      <c r="DQ40" s="112"/>
      <c r="DR40" s="112"/>
      <c r="DS40" s="112"/>
      <c r="DT40" s="112"/>
      <c r="DU40" s="112"/>
      <c r="DV40" s="112"/>
      <c r="DW40" s="112"/>
      <c r="DX40" s="112"/>
      <c r="DY40" s="112"/>
      <c r="DZ40" s="112"/>
      <c r="EA40" s="112"/>
      <c r="EB40" s="112"/>
      <c r="EC40" s="112"/>
      <c r="ED40" s="112"/>
      <c r="EE40" s="112"/>
      <c r="EF40" s="112"/>
      <c r="EG40" s="112"/>
      <c r="EH40" s="112"/>
      <c r="EI40" s="112"/>
      <c r="EJ40" s="112"/>
      <c r="EK40" s="112"/>
      <c r="EL40" s="112"/>
      <c r="EM40" s="112"/>
      <c r="EN40" s="112"/>
      <c r="EO40" s="112"/>
      <c r="EP40" s="112"/>
      <c r="EQ40" s="112"/>
      <c r="ER40" s="112"/>
      <c r="ES40" s="112"/>
      <c r="ET40" s="112"/>
      <c r="EU40" s="112"/>
      <c r="EV40" s="112"/>
      <c r="EW40" s="112"/>
      <c r="EX40" s="112"/>
      <c r="EY40" s="112"/>
      <c r="EZ40" s="112"/>
      <c r="FA40" s="112"/>
      <c r="FB40" s="112"/>
      <c r="FC40" s="112"/>
      <c r="FD40" s="112"/>
      <c r="FE40" s="112"/>
      <c r="FF40" s="112"/>
      <c r="FG40" s="112"/>
      <c r="FH40" s="112"/>
      <c r="FI40" s="112"/>
      <c r="FJ40" s="112"/>
      <c r="FK40" s="112"/>
      <c r="FL40" s="112"/>
      <c r="FM40" s="112"/>
      <c r="FN40" s="112"/>
    </row>
    <row r="41" spans="1:170" s="112" customFormat="1" ht="18.75" customHeight="1" x14ac:dyDescent="0.2">
      <c r="A41" s="160" t="s">
        <v>494</v>
      </c>
      <c r="B41" s="160" t="s">
        <v>495</v>
      </c>
      <c r="C41" s="161">
        <f>C54+C53+C52+C51+C50+C49+C48+C47+C46+C42</f>
        <v>0</v>
      </c>
      <c r="D41" s="161">
        <f>D54+D53+D52+D51+D50+D49+D48+D47+D46+D42</f>
        <v>0</v>
      </c>
      <c r="E41" s="161">
        <f>E54+E53+E52+E51+E50+E49+E48+E47+E46+E42</f>
        <v>9500000</v>
      </c>
      <c r="F41" s="161">
        <f>F54+F53+F52+F51+F50+F49+F48+F47+F46+F42</f>
        <v>0</v>
      </c>
      <c r="G41" s="161">
        <f t="shared" ref="G41:Q41" si="27">G54+G53+G52+G51+G50+G49+G48+G47+G46+G42</f>
        <v>0</v>
      </c>
      <c r="H41" s="161">
        <f t="shared" si="27"/>
        <v>0</v>
      </c>
      <c r="I41" s="161">
        <f>+I42+I46+I47+I48+I49+I50+I51+I52+I53+I54</f>
        <v>0</v>
      </c>
      <c r="J41" s="161">
        <f>+J42+J46+J47+J48+J49+J50+J51+J52+J53+J54</f>
        <v>0</v>
      </c>
      <c r="K41" s="161">
        <f>+K42+K46+K47+K48+K49+K50+K51+K52+K53+K54</f>
        <v>0</v>
      </c>
      <c r="L41" s="161">
        <f>+L42+L46+L47+L48+L49+L50+L51+L53+L52+L54</f>
        <v>0</v>
      </c>
      <c r="M41" s="161">
        <f>+M42+M46+M47+M48+M49+M50+M51+M52+M53+M54</f>
        <v>0</v>
      </c>
      <c r="N41" s="161">
        <f t="shared" si="27"/>
        <v>0</v>
      </c>
      <c r="O41" s="161">
        <f t="shared" si="27"/>
        <v>0</v>
      </c>
      <c r="P41" s="161">
        <f>+P42+P46+P47+P48+P49+P50+P51+P52+P53+P54</f>
        <v>0</v>
      </c>
      <c r="Q41" s="161">
        <f t="shared" si="27"/>
        <v>250000</v>
      </c>
      <c r="R41" s="161">
        <f>+R42+R46+R47+R48+R49+R50+R51+R52+R53+R54</f>
        <v>0</v>
      </c>
      <c r="S41" s="161">
        <f t="shared" ref="S41:T41" si="28">+S42+S46+S47+S48+S49+S50+S51+S52+S53+S54</f>
        <v>0</v>
      </c>
      <c r="T41" s="161">
        <f t="shared" si="28"/>
        <v>0</v>
      </c>
      <c r="U41" s="161">
        <f>+U42+U46+U47+U48+U49+U50+U51+U52+U53+U54</f>
        <v>0</v>
      </c>
      <c r="V41" s="161">
        <f t="shared" ref="V41:Z41" si="29">+V42+V46+V47+V48+V49+V50+V51+V52+V53+V54</f>
        <v>0</v>
      </c>
      <c r="W41" s="161">
        <f t="shared" si="29"/>
        <v>0</v>
      </c>
      <c r="X41" s="161">
        <f t="shared" si="29"/>
        <v>0</v>
      </c>
      <c r="Y41" s="161">
        <f t="shared" si="29"/>
        <v>0</v>
      </c>
      <c r="Z41" s="161">
        <f t="shared" si="29"/>
        <v>0</v>
      </c>
      <c r="AA41" s="161">
        <f t="shared" si="7"/>
        <v>9750000</v>
      </c>
      <c r="AB41" s="137">
        <f t="shared" si="17"/>
        <v>2.1395412911686666E-2</v>
      </c>
    </row>
    <row r="42" spans="1:170" s="112" customFormat="1" ht="21" customHeight="1" x14ac:dyDescent="0.2">
      <c r="A42" s="150" t="s">
        <v>496</v>
      </c>
      <c r="B42" s="150" t="s">
        <v>497</v>
      </c>
      <c r="C42" s="144">
        <v>0</v>
      </c>
      <c r="D42" s="144">
        <v>0</v>
      </c>
      <c r="E42" s="144">
        <v>100000</v>
      </c>
      <c r="F42" s="144">
        <v>0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44">
        <v>0</v>
      </c>
      <c r="U42" s="144">
        <v>0</v>
      </c>
      <c r="V42" s="144">
        <v>0</v>
      </c>
      <c r="W42" s="144">
        <v>0</v>
      </c>
      <c r="X42" s="144"/>
      <c r="Y42" s="144">
        <v>0</v>
      </c>
      <c r="Z42" s="144">
        <v>0</v>
      </c>
      <c r="AA42" s="145">
        <f t="shared" si="7"/>
        <v>100000</v>
      </c>
      <c r="AB42" s="146">
        <f t="shared" si="17"/>
        <v>2.1944013242755557E-4</v>
      </c>
    </row>
    <row r="43" spans="1:170" s="112" customFormat="1" ht="15.75" x14ac:dyDescent="0.2">
      <c r="A43" s="150" t="s">
        <v>498</v>
      </c>
      <c r="B43" s="150" t="s">
        <v>499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5">
        <f t="shared" si="7"/>
        <v>0</v>
      </c>
      <c r="AB43" s="146">
        <f t="shared" si="17"/>
        <v>0</v>
      </c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8"/>
      <c r="CZ43" s="118"/>
      <c r="DA43" s="118"/>
      <c r="DB43" s="118"/>
      <c r="DC43" s="118"/>
      <c r="DD43" s="118"/>
      <c r="DE43" s="118"/>
      <c r="DF43" s="118"/>
      <c r="DG43" s="118"/>
      <c r="DH43" s="118"/>
      <c r="DI43" s="118"/>
      <c r="DJ43" s="118"/>
      <c r="DK43" s="118"/>
      <c r="DL43" s="118"/>
      <c r="DM43" s="118"/>
      <c r="DN43" s="118"/>
      <c r="DO43" s="118"/>
      <c r="DP43" s="118"/>
      <c r="DQ43" s="118"/>
      <c r="DR43" s="118"/>
      <c r="DS43" s="118"/>
      <c r="DT43" s="118"/>
      <c r="DU43" s="118"/>
      <c r="DV43" s="118"/>
      <c r="DW43" s="118"/>
      <c r="DX43" s="118"/>
      <c r="DY43" s="118"/>
      <c r="DZ43" s="118"/>
      <c r="EA43" s="118"/>
      <c r="EB43" s="118"/>
      <c r="EC43" s="118"/>
      <c r="ED43" s="118"/>
      <c r="EE43" s="118"/>
      <c r="EF43" s="118"/>
      <c r="EG43" s="118"/>
      <c r="EH43" s="118"/>
      <c r="EI43" s="118"/>
      <c r="EJ43" s="118"/>
      <c r="EK43" s="118"/>
      <c r="EL43" s="118"/>
      <c r="EM43" s="118"/>
      <c r="EN43" s="118"/>
      <c r="EO43" s="118"/>
      <c r="EP43" s="118"/>
      <c r="EQ43" s="118"/>
      <c r="ER43" s="118"/>
      <c r="ES43" s="118"/>
      <c r="ET43" s="118"/>
      <c r="EU43" s="118"/>
      <c r="EV43" s="118"/>
      <c r="EW43" s="118"/>
      <c r="EX43" s="118"/>
      <c r="EY43" s="118"/>
      <c r="EZ43" s="118"/>
      <c r="FA43" s="118"/>
      <c r="FB43" s="118"/>
      <c r="FC43" s="118"/>
      <c r="FD43" s="118"/>
      <c r="FE43" s="118"/>
      <c r="FF43" s="118"/>
      <c r="FG43" s="118"/>
      <c r="FH43" s="118"/>
      <c r="FI43" s="118"/>
      <c r="FJ43" s="118"/>
      <c r="FK43" s="118"/>
      <c r="FL43" s="118"/>
      <c r="FM43" s="118"/>
      <c r="FN43" s="118"/>
    </row>
    <row r="44" spans="1:170" s="112" customFormat="1" ht="15.75" x14ac:dyDescent="0.2">
      <c r="A44" s="150" t="s">
        <v>500</v>
      </c>
      <c r="B44" s="150" t="s">
        <v>501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5">
        <f t="shared" si="7"/>
        <v>0</v>
      </c>
      <c r="AB44" s="146">
        <f t="shared" si="17"/>
        <v>0</v>
      </c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8"/>
      <c r="CZ44" s="118"/>
      <c r="DA44" s="118"/>
      <c r="DB44" s="118"/>
      <c r="DC44" s="118"/>
      <c r="DD44" s="118"/>
      <c r="DE44" s="118"/>
      <c r="DF44" s="118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18"/>
      <c r="EA44" s="118"/>
      <c r="EB44" s="118"/>
      <c r="EC44" s="118"/>
      <c r="ED44" s="118"/>
      <c r="EE44" s="118"/>
      <c r="EF44" s="118"/>
      <c r="EG44" s="118"/>
      <c r="EH44" s="118"/>
      <c r="EI44" s="118"/>
      <c r="EJ44" s="118"/>
      <c r="EK44" s="118"/>
      <c r="EL44" s="118"/>
      <c r="EM44" s="118"/>
      <c r="EN44" s="118"/>
      <c r="EO44" s="118"/>
      <c r="EP44" s="118"/>
      <c r="EQ44" s="118"/>
      <c r="ER44" s="118"/>
      <c r="ES44" s="118"/>
      <c r="ET44" s="118"/>
      <c r="EU44" s="118"/>
      <c r="EV44" s="118"/>
      <c r="EW44" s="118"/>
      <c r="EX44" s="118"/>
      <c r="EY44" s="118"/>
      <c r="EZ44" s="118"/>
      <c r="FA44" s="118"/>
      <c r="FB44" s="118"/>
      <c r="FC44" s="118"/>
      <c r="FD44" s="118"/>
      <c r="FE44" s="118"/>
      <c r="FF44" s="118"/>
      <c r="FG44" s="118"/>
      <c r="FH44" s="118"/>
      <c r="FI44" s="118"/>
      <c r="FJ44" s="118"/>
      <c r="FK44" s="118"/>
      <c r="FL44" s="118"/>
      <c r="FM44" s="118"/>
      <c r="FN44" s="118"/>
    </row>
    <row r="45" spans="1:170" s="112" customFormat="1" ht="15.75" x14ac:dyDescent="0.2">
      <c r="A45" s="150" t="s">
        <v>503</v>
      </c>
      <c r="B45" s="150" t="s">
        <v>504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5">
        <f t="shared" si="7"/>
        <v>0</v>
      </c>
      <c r="AB45" s="146">
        <f t="shared" si="17"/>
        <v>0</v>
      </c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  <c r="CO45" s="118"/>
      <c r="CP45" s="118"/>
      <c r="CQ45" s="118"/>
      <c r="CR45" s="118"/>
      <c r="CS45" s="118"/>
      <c r="CT45" s="118"/>
      <c r="CU45" s="118"/>
      <c r="CV45" s="118"/>
      <c r="CW45" s="118"/>
      <c r="CX45" s="118"/>
      <c r="CY45" s="118"/>
      <c r="CZ45" s="118"/>
      <c r="DA45" s="118"/>
      <c r="DB45" s="118"/>
      <c r="DC45" s="118"/>
      <c r="DD45" s="118"/>
      <c r="DE45" s="118"/>
      <c r="DF45" s="118"/>
      <c r="DG45" s="118"/>
      <c r="DH45" s="118"/>
      <c r="DI45" s="118"/>
      <c r="DJ45" s="118"/>
      <c r="DK45" s="118"/>
      <c r="DL45" s="118"/>
      <c r="DM45" s="118"/>
      <c r="DN45" s="118"/>
      <c r="DO45" s="118"/>
      <c r="DP45" s="118"/>
      <c r="DQ45" s="118"/>
      <c r="DR45" s="118"/>
      <c r="DS45" s="118"/>
      <c r="DT45" s="118"/>
      <c r="DU45" s="118"/>
      <c r="DV45" s="118"/>
      <c r="DW45" s="118"/>
      <c r="DX45" s="118"/>
      <c r="DY45" s="118"/>
      <c r="DZ45" s="118"/>
      <c r="EA45" s="118"/>
      <c r="EB45" s="118"/>
      <c r="EC45" s="118"/>
      <c r="ED45" s="118"/>
      <c r="EE45" s="118"/>
      <c r="EF45" s="118"/>
      <c r="EG45" s="118"/>
      <c r="EH45" s="118"/>
      <c r="EI45" s="118"/>
      <c r="EJ45" s="118"/>
      <c r="EK45" s="118"/>
      <c r="EL45" s="118"/>
      <c r="EM45" s="118"/>
      <c r="EN45" s="118"/>
      <c r="EO45" s="118"/>
      <c r="EP45" s="118"/>
      <c r="EQ45" s="118"/>
      <c r="ER45" s="118"/>
      <c r="ES45" s="118"/>
      <c r="ET45" s="118"/>
      <c r="EU45" s="118"/>
      <c r="EV45" s="118"/>
      <c r="EW45" s="118"/>
      <c r="EX45" s="118"/>
      <c r="EY45" s="118"/>
      <c r="EZ45" s="118"/>
      <c r="FA45" s="118"/>
      <c r="FB45" s="118"/>
      <c r="FC45" s="118"/>
      <c r="FD45" s="118"/>
      <c r="FE45" s="118"/>
      <c r="FF45" s="118"/>
      <c r="FG45" s="118"/>
      <c r="FH45" s="118"/>
      <c r="FI45" s="118"/>
      <c r="FJ45" s="118"/>
      <c r="FK45" s="118"/>
      <c r="FL45" s="118"/>
      <c r="FM45" s="118"/>
      <c r="FN45" s="118"/>
    </row>
    <row r="46" spans="1:170" s="112" customFormat="1" ht="20.25" customHeight="1" x14ac:dyDescent="0.2">
      <c r="A46" s="150" t="s">
        <v>505</v>
      </c>
      <c r="B46" s="150" t="s">
        <v>506</v>
      </c>
      <c r="C46" s="144">
        <v>0</v>
      </c>
      <c r="D46" s="144">
        <v>0</v>
      </c>
      <c r="E46" s="144">
        <v>0</v>
      </c>
      <c r="F46" s="144">
        <v>0</v>
      </c>
      <c r="G46" s="144">
        <v>0</v>
      </c>
      <c r="H46" s="144">
        <v>0</v>
      </c>
      <c r="I46" s="144">
        <v>0</v>
      </c>
      <c r="J46" s="144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0</v>
      </c>
      <c r="P46" s="144">
        <v>0</v>
      </c>
      <c r="Q46" s="144">
        <v>0</v>
      </c>
      <c r="R46" s="144">
        <v>0</v>
      </c>
      <c r="S46" s="144">
        <v>0</v>
      </c>
      <c r="T46" s="144">
        <v>0</v>
      </c>
      <c r="U46" s="144">
        <v>0</v>
      </c>
      <c r="V46" s="144">
        <v>0</v>
      </c>
      <c r="W46" s="144">
        <v>0</v>
      </c>
      <c r="X46" s="144"/>
      <c r="Y46" s="144">
        <v>0</v>
      </c>
      <c r="Z46" s="144">
        <v>0</v>
      </c>
      <c r="AA46" s="144">
        <f t="shared" si="7"/>
        <v>0</v>
      </c>
      <c r="AB46" s="146">
        <f t="shared" si="17"/>
        <v>0</v>
      </c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18"/>
      <c r="EA46" s="118"/>
      <c r="EB46" s="118"/>
      <c r="EC46" s="118"/>
      <c r="ED46" s="118"/>
      <c r="EE46" s="118"/>
      <c r="EF46" s="118"/>
      <c r="EG46" s="118"/>
      <c r="EH46" s="118"/>
      <c r="EI46" s="118"/>
      <c r="EJ46" s="118"/>
      <c r="EK46" s="118"/>
      <c r="EL46" s="118"/>
      <c r="EM46" s="118"/>
      <c r="EN46" s="118"/>
      <c r="EO46" s="118"/>
      <c r="EP46" s="118"/>
      <c r="EQ46" s="118"/>
      <c r="ER46" s="118"/>
      <c r="ES46" s="118"/>
      <c r="ET46" s="118"/>
      <c r="EU46" s="118"/>
      <c r="EV46" s="118"/>
      <c r="EW46" s="118"/>
      <c r="EX46" s="118"/>
      <c r="EY46" s="118"/>
      <c r="EZ46" s="118"/>
      <c r="FA46" s="118"/>
      <c r="FB46" s="118"/>
      <c r="FC46" s="118"/>
      <c r="FD46" s="118"/>
      <c r="FE46" s="118"/>
      <c r="FF46" s="118"/>
      <c r="FG46" s="118"/>
      <c r="FH46" s="118"/>
      <c r="FI46" s="118"/>
      <c r="FJ46" s="118"/>
      <c r="FK46" s="118"/>
      <c r="FL46" s="118"/>
      <c r="FM46" s="118"/>
      <c r="FN46" s="118"/>
    </row>
    <row r="47" spans="1:170" s="112" customFormat="1" ht="24" customHeight="1" x14ac:dyDescent="0.2">
      <c r="A47" s="143" t="s">
        <v>507</v>
      </c>
      <c r="B47" s="143" t="s">
        <v>508</v>
      </c>
      <c r="C47" s="144">
        <v>0</v>
      </c>
      <c r="D47" s="144">
        <v>0</v>
      </c>
      <c r="E47" s="144">
        <v>1000000</v>
      </c>
      <c r="F47" s="144">
        <v>0</v>
      </c>
      <c r="G47" s="144">
        <v>0</v>
      </c>
      <c r="H47" s="144">
        <v>0</v>
      </c>
      <c r="I47" s="144">
        <v>0</v>
      </c>
      <c r="J47" s="144">
        <v>0</v>
      </c>
      <c r="K47" s="144">
        <v>0</v>
      </c>
      <c r="L47" s="144">
        <v>0</v>
      </c>
      <c r="M47" s="144">
        <v>0</v>
      </c>
      <c r="N47" s="144">
        <v>0</v>
      </c>
      <c r="O47" s="144">
        <v>0</v>
      </c>
      <c r="P47" s="144">
        <v>0</v>
      </c>
      <c r="Q47" s="144">
        <v>250000</v>
      </c>
      <c r="R47" s="144">
        <v>0</v>
      </c>
      <c r="S47" s="144">
        <v>0</v>
      </c>
      <c r="T47" s="144">
        <v>0</v>
      </c>
      <c r="U47" s="144">
        <v>0</v>
      </c>
      <c r="V47" s="144">
        <v>0</v>
      </c>
      <c r="W47" s="144">
        <v>0</v>
      </c>
      <c r="X47" s="144"/>
      <c r="Y47" s="144">
        <v>0</v>
      </c>
      <c r="Z47" s="144">
        <v>0</v>
      </c>
      <c r="AA47" s="145">
        <f t="shared" si="7"/>
        <v>1250000</v>
      </c>
      <c r="AB47" s="146">
        <f t="shared" si="17"/>
        <v>2.7430016553444446E-3</v>
      </c>
    </row>
    <row r="48" spans="1:170" s="112" customFormat="1" ht="30" customHeight="1" x14ac:dyDescent="0.2">
      <c r="A48" s="143" t="s">
        <v>509</v>
      </c>
      <c r="B48" s="157" t="s">
        <v>510</v>
      </c>
      <c r="C48" s="144">
        <v>0</v>
      </c>
      <c r="D48" s="144">
        <v>0</v>
      </c>
      <c r="E48" s="144">
        <v>0</v>
      </c>
      <c r="F48" s="144">
        <v>0</v>
      </c>
      <c r="G48" s="144">
        <v>0</v>
      </c>
      <c r="H48" s="144">
        <v>0</v>
      </c>
      <c r="I48" s="144">
        <v>0</v>
      </c>
      <c r="J48" s="144">
        <v>0</v>
      </c>
      <c r="K48" s="144">
        <v>0</v>
      </c>
      <c r="L48" s="144">
        <v>0</v>
      </c>
      <c r="M48" s="144">
        <v>0</v>
      </c>
      <c r="N48" s="144">
        <v>0</v>
      </c>
      <c r="O48" s="144">
        <v>0</v>
      </c>
      <c r="P48" s="144">
        <v>0</v>
      </c>
      <c r="Q48" s="144">
        <v>0</v>
      </c>
      <c r="R48" s="144">
        <v>0</v>
      </c>
      <c r="S48" s="144">
        <v>0</v>
      </c>
      <c r="T48" s="144">
        <v>0</v>
      </c>
      <c r="U48" s="144">
        <v>0</v>
      </c>
      <c r="V48" s="144">
        <v>0</v>
      </c>
      <c r="W48" s="144">
        <v>0</v>
      </c>
      <c r="X48" s="144"/>
      <c r="Y48" s="144">
        <v>0</v>
      </c>
      <c r="Z48" s="144">
        <v>0</v>
      </c>
      <c r="AA48" s="144">
        <f t="shared" si="7"/>
        <v>0</v>
      </c>
      <c r="AB48" s="146">
        <f t="shared" si="17"/>
        <v>0</v>
      </c>
    </row>
    <row r="49" spans="1:170" s="112" customFormat="1" ht="24" customHeight="1" x14ac:dyDescent="0.2">
      <c r="A49" s="143" t="s">
        <v>511</v>
      </c>
      <c r="B49" s="143" t="s">
        <v>512</v>
      </c>
      <c r="C49" s="144">
        <v>0</v>
      </c>
      <c r="D49" s="144">
        <v>0</v>
      </c>
      <c r="E49" s="144">
        <v>1500000</v>
      </c>
      <c r="F49" s="144">
        <v>0</v>
      </c>
      <c r="G49" s="144">
        <v>0</v>
      </c>
      <c r="H49" s="144">
        <v>0</v>
      </c>
      <c r="I49" s="144">
        <v>0</v>
      </c>
      <c r="J49" s="144">
        <v>0</v>
      </c>
      <c r="K49" s="144">
        <v>0</v>
      </c>
      <c r="L49" s="144">
        <v>0</v>
      </c>
      <c r="M49" s="144">
        <v>0</v>
      </c>
      <c r="N49" s="144">
        <v>0</v>
      </c>
      <c r="O49" s="144">
        <v>0</v>
      </c>
      <c r="P49" s="144">
        <v>0</v>
      </c>
      <c r="Q49" s="144">
        <v>0</v>
      </c>
      <c r="R49" s="144">
        <v>0</v>
      </c>
      <c r="S49" s="144">
        <v>0</v>
      </c>
      <c r="T49" s="144">
        <v>0</v>
      </c>
      <c r="U49" s="144">
        <v>0</v>
      </c>
      <c r="V49" s="144">
        <v>0</v>
      </c>
      <c r="W49" s="144">
        <v>0</v>
      </c>
      <c r="X49" s="144"/>
      <c r="Y49" s="144">
        <v>0</v>
      </c>
      <c r="Z49" s="144">
        <v>0</v>
      </c>
      <c r="AA49" s="145">
        <f t="shared" si="7"/>
        <v>1500000</v>
      </c>
      <c r="AB49" s="146">
        <f t="shared" si="17"/>
        <v>3.2916019864133333E-3</v>
      </c>
    </row>
    <row r="50" spans="1:170" s="112" customFormat="1" ht="23.25" customHeight="1" x14ac:dyDescent="0.2">
      <c r="A50" s="143" t="s">
        <v>513</v>
      </c>
      <c r="B50" s="143" t="s">
        <v>514</v>
      </c>
      <c r="C50" s="144">
        <v>0</v>
      </c>
      <c r="D50" s="144">
        <v>0</v>
      </c>
      <c r="E50" s="144">
        <v>200000</v>
      </c>
      <c r="F50" s="144">
        <v>0</v>
      </c>
      <c r="G50" s="144">
        <v>0</v>
      </c>
      <c r="H50" s="144">
        <v>0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4">
        <v>0</v>
      </c>
      <c r="T50" s="144">
        <v>0</v>
      </c>
      <c r="U50" s="144">
        <v>0</v>
      </c>
      <c r="V50" s="144">
        <v>0</v>
      </c>
      <c r="W50" s="144">
        <v>0</v>
      </c>
      <c r="X50" s="144"/>
      <c r="Y50" s="144">
        <v>0</v>
      </c>
      <c r="Z50" s="144">
        <v>0</v>
      </c>
      <c r="AA50" s="145">
        <f t="shared" si="7"/>
        <v>200000</v>
      </c>
      <c r="AB50" s="146">
        <f t="shared" si="17"/>
        <v>4.3888026485511115E-4</v>
      </c>
    </row>
    <row r="51" spans="1:170" s="112" customFormat="1" ht="25.5" customHeight="1" x14ac:dyDescent="0.2">
      <c r="A51" s="143" t="s">
        <v>515</v>
      </c>
      <c r="B51" s="143" t="s">
        <v>516</v>
      </c>
      <c r="C51" s="144">
        <v>0</v>
      </c>
      <c r="D51" s="144">
        <v>0</v>
      </c>
      <c r="E51" s="144">
        <v>5000000</v>
      </c>
      <c r="F51" s="144">
        <v>0</v>
      </c>
      <c r="G51" s="144">
        <v>0</v>
      </c>
      <c r="H51" s="144">
        <v>0</v>
      </c>
      <c r="I51" s="144">
        <v>0</v>
      </c>
      <c r="J51" s="144">
        <v>0</v>
      </c>
      <c r="K51" s="144">
        <v>0</v>
      </c>
      <c r="L51" s="144">
        <v>0</v>
      </c>
      <c r="M51" s="144">
        <v>0</v>
      </c>
      <c r="N51" s="144">
        <v>0</v>
      </c>
      <c r="O51" s="144">
        <v>0</v>
      </c>
      <c r="P51" s="144">
        <v>0</v>
      </c>
      <c r="Q51" s="144">
        <v>0</v>
      </c>
      <c r="R51" s="144">
        <v>0</v>
      </c>
      <c r="S51" s="144">
        <v>0</v>
      </c>
      <c r="T51" s="144">
        <v>0</v>
      </c>
      <c r="U51" s="144">
        <v>0</v>
      </c>
      <c r="V51" s="144">
        <v>0</v>
      </c>
      <c r="W51" s="144">
        <v>0</v>
      </c>
      <c r="X51" s="144"/>
      <c r="Y51" s="144">
        <v>0</v>
      </c>
      <c r="Z51" s="144">
        <v>0</v>
      </c>
      <c r="AA51" s="145">
        <f t="shared" si="7"/>
        <v>5000000</v>
      </c>
      <c r="AB51" s="146">
        <f t="shared" si="17"/>
        <v>1.0972006621377779E-2</v>
      </c>
    </row>
    <row r="52" spans="1:170" s="112" customFormat="1" ht="33" customHeight="1" x14ac:dyDescent="0.2">
      <c r="A52" s="143" t="s">
        <v>517</v>
      </c>
      <c r="B52" s="157" t="s">
        <v>518</v>
      </c>
      <c r="C52" s="144">
        <v>0</v>
      </c>
      <c r="D52" s="144">
        <v>0</v>
      </c>
      <c r="E52" s="144">
        <v>500000</v>
      </c>
      <c r="F52" s="144">
        <v>0</v>
      </c>
      <c r="G52" s="144">
        <v>0</v>
      </c>
      <c r="H52" s="144">
        <v>0</v>
      </c>
      <c r="I52" s="144">
        <v>0</v>
      </c>
      <c r="J52" s="144">
        <v>0</v>
      </c>
      <c r="K52" s="144">
        <v>0</v>
      </c>
      <c r="L52" s="144">
        <v>0</v>
      </c>
      <c r="M52" s="144">
        <v>0</v>
      </c>
      <c r="N52" s="144">
        <v>0</v>
      </c>
      <c r="O52" s="144">
        <v>0</v>
      </c>
      <c r="P52" s="144">
        <v>0</v>
      </c>
      <c r="Q52" s="144">
        <v>0</v>
      </c>
      <c r="R52" s="144">
        <v>0</v>
      </c>
      <c r="S52" s="144">
        <v>0</v>
      </c>
      <c r="T52" s="144">
        <v>0</v>
      </c>
      <c r="U52" s="144">
        <v>0</v>
      </c>
      <c r="V52" s="144">
        <v>0</v>
      </c>
      <c r="W52" s="144">
        <v>0</v>
      </c>
      <c r="X52" s="144"/>
      <c r="Y52" s="144">
        <v>0</v>
      </c>
      <c r="Z52" s="144">
        <v>0</v>
      </c>
      <c r="AA52" s="145">
        <f t="shared" si="7"/>
        <v>500000</v>
      </c>
      <c r="AB52" s="146">
        <f t="shared" si="17"/>
        <v>1.0972006621377778E-3</v>
      </c>
    </row>
    <row r="53" spans="1:170" s="112" customFormat="1" ht="31.5" customHeight="1" x14ac:dyDescent="0.2">
      <c r="A53" s="143" t="s">
        <v>519</v>
      </c>
      <c r="B53" s="157" t="s">
        <v>520</v>
      </c>
      <c r="C53" s="144">
        <v>0</v>
      </c>
      <c r="D53" s="144">
        <v>0</v>
      </c>
      <c r="E53" s="144">
        <v>1000000</v>
      </c>
      <c r="F53" s="144">
        <v>0</v>
      </c>
      <c r="G53" s="144">
        <v>0</v>
      </c>
      <c r="H53" s="144">
        <v>0</v>
      </c>
      <c r="I53" s="144">
        <v>0</v>
      </c>
      <c r="J53" s="144">
        <v>0</v>
      </c>
      <c r="K53" s="144">
        <v>0</v>
      </c>
      <c r="L53" s="144">
        <v>0</v>
      </c>
      <c r="M53" s="144">
        <v>0</v>
      </c>
      <c r="N53" s="144">
        <v>0</v>
      </c>
      <c r="O53" s="144">
        <v>0</v>
      </c>
      <c r="P53" s="144">
        <v>0</v>
      </c>
      <c r="Q53" s="144">
        <v>0</v>
      </c>
      <c r="R53" s="144">
        <v>0</v>
      </c>
      <c r="S53" s="144">
        <v>0</v>
      </c>
      <c r="T53" s="144">
        <v>0</v>
      </c>
      <c r="U53" s="144">
        <v>0</v>
      </c>
      <c r="V53" s="144">
        <v>0</v>
      </c>
      <c r="W53" s="144">
        <v>0</v>
      </c>
      <c r="X53" s="144"/>
      <c r="Y53" s="144">
        <v>0</v>
      </c>
      <c r="Z53" s="144">
        <v>0</v>
      </c>
      <c r="AA53" s="145">
        <f t="shared" si="7"/>
        <v>1000000</v>
      </c>
      <c r="AB53" s="146">
        <f t="shared" si="17"/>
        <v>2.1944013242755555E-3</v>
      </c>
    </row>
    <row r="54" spans="1:170" s="112" customFormat="1" ht="21" customHeight="1" x14ac:dyDescent="0.2">
      <c r="A54" s="150" t="s">
        <v>521</v>
      </c>
      <c r="B54" s="150" t="s">
        <v>522</v>
      </c>
      <c r="C54" s="144">
        <v>0</v>
      </c>
      <c r="D54" s="144">
        <v>0</v>
      </c>
      <c r="E54" s="144">
        <v>200000</v>
      </c>
      <c r="F54" s="144">
        <v>0</v>
      </c>
      <c r="G54" s="144">
        <v>0</v>
      </c>
      <c r="H54" s="144">
        <v>0</v>
      </c>
      <c r="I54" s="144">
        <v>0</v>
      </c>
      <c r="J54" s="144">
        <v>0</v>
      </c>
      <c r="K54" s="144">
        <v>0</v>
      </c>
      <c r="L54" s="144">
        <v>0</v>
      </c>
      <c r="M54" s="144">
        <v>0</v>
      </c>
      <c r="N54" s="144">
        <v>0</v>
      </c>
      <c r="O54" s="144">
        <v>0</v>
      </c>
      <c r="P54" s="144">
        <v>0</v>
      </c>
      <c r="Q54" s="144">
        <v>0</v>
      </c>
      <c r="R54" s="144">
        <v>0</v>
      </c>
      <c r="S54" s="144">
        <v>0</v>
      </c>
      <c r="T54" s="144">
        <v>0</v>
      </c>
      <c r="U54" s="144">
        <v>0</v>
      </c>
      <c r="V54" s="144">
        <v>0</v>
      </c>
      <c r="W54" s="144">
        <v>0</v>
      </c>
      <c r="X54" s="144"/>
      <c r="Y54" s="144">
        <v>0</v>
      </c>
      <c r="Z54" s="144">
        <v>0</v>
      </c>
      <c r="AA54" s="145">
        <f t="shared" si="7"/>
        <v>200000</v>
      </c>
      <c r="AB54" s="146">
        <f t="shared" si="17"/>
        <v>4.3888026485511115E-4</v>
      </c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  <c r="CO54" s="118"/>
      <c r="CP54" s="118"/>
      <c r="CQ54" s="118"/>
      <c r="CR54" s="118"/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8"/>
      <c r="DF54" s="118"/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18"/>
      <c r="EA54" s="118"/>
      <c r="EB54" s="118"/>
      <c r="EC54" s="118"/>
      <c r="ED54" s="118"/>
      <c r="EE54" s="118"/>
      <c r="EF54" s="118"/>
      <c r="EG54" s="118"/>
      <c r="EH54" s="118"/>
      <c r="EI54" s="118"/>
      <c r="EJ54" s="118"/>
      <c r="EK54" s="118"/>
      <c r="EL54" s="118"/>
      <c r="EM54" s="118"/>
      <c r="EN54" s="118"/>
      <c r="EO54" s="118"/>
      <c r="EP54" s="118"/>
      <c r="EQ54" s="118"/>
      <c r="ER54" s="118"/>
      <c r="ES54" s="118"/>
      <c r="ET54" s="118"/>
      <c r="EU54" s="118"/>
      <c r="EV54" s="118"/>
      <c r="EW54" s="118"/>
      <c r="EX54" s="118"/>
      <c r="EY54" s="118"/>
      <c r="EZ54" s="118"/>
      <c r="FA54" s="118"/>
      <c r="FB54" s="118"/>
      <c r="FC54" s="118"/>
      <c r="FD54" s="118"/>
      <c r="FE54" s="118"/>
      <c r="FF54" s="118"/>
      <c r="FG54" s="118"/>
      <c r="FH54" s="118"/>
      <c r="FI54" s="118"/>
      <c r="FJ54" s="118"/>
      <c r="FK54" s="118"/>
      <c r="FL54" s="118"/>
      <c r="FM54" s="118"/>
      <c r="FN54" s="118"/>
    </row>
    <row r="55" spans="1:170" s="112" customFormat="1" ht="24" customHeight="1" x14ac:dyDescent="0.2">
      <c r="A55" s="160" t="s">
        <v>523</v>
      </c>
      <c r="B55" s="160" t="s">
        <v>524</v>
      </c>
      <c r="C55" s="161">
        <f>C56+C57+C58+C59+C60+C61+C62+C63+C64+C67+C68+C69+C70+C71</f>
        <v>1050000</v>
      </c>
      <c r="D55" s="161">
        <f>D56+D57+D58+D59+D60+D61+D62+D63+D64+D67+D68+D69+D70+D71</f>
        <v>1363200</v>
      </c>
      <c r="E55" s="161">
        <f>E56+E57+E58+E59+E60+E61+E62+E63+E64+E67+E68+E69+E70+E71</f>
        <v>11850000</v>
      </c>
      <c r="F55" s="161">
        <f>F56+F57+F58+F59+F60+F61+F62+F63+F64+F67+F68+F69+F70+F71</f>
        <v>60000</v>
      </c>
      <c r="G55" s="161">
        <f>G56+G57+G58+G59+G60+G61+G62+G63+G64+G67+G68+G69+G70+G71</f>
        <v>60000</v>
      </c>
      <c r="H55" s="161">
        <f>H56+H57+H58+H60+H59+H61+H62+H63+H64+H67+H68+H69+H70+H71</f>
        <v>0</v>
      </c>
      <c r="I55" s="161">
        <f>+I56+I57+I58+I59+I60+I61+I62+I63+I64+I67+I68+I69+I70+I71</f>
        <v>326880</v>
      </c>
      <c r="J55" s="161">
        <f>+J56+J57+J58+J59+J60+J61+J62+J63+J64+J67+J68+J69+J70+J71</f>
        <v>40000</v>
      </c>
      <c r="K55" s="161">
        <f>+K56+K57+K58+K59+K60+K61+K62+K63+K64+K67+K68+K69+K70+K71</f>
        <v>2426880</v>
      </c>
      <c r="L55" s="161">
        <f>+L56+L57+L58+L59+L60+L61+L62+L63+L64+L67+L68+L69+L70+L71</f>
        <v>446880</v>
      </c>
      <c r="M55" s="161">
        <f>+M56+M57+M58+M59+M60+M61+M62+M63+M64+M67+M68+M69+M70+M71</f>
        <v>70000</v>
      </c>
      <c r="N55" s="161">
        <f t="shared" ref="N55:Q55" si="30">N56+N57+N58+N59+N60+N61+N62+N63+N64+N67+N68+N69+N70+N71</f>
        <v>130000</v>
      </c>
      <c r="O55" s="161">
        <f t="shared" si="30"/>
        <v>446880</v>
      </c>
      <c r="P55" s="161">
        <f>+P56+P57+P58+P59+P60+P61+P62+P63+P64+P67+P68+P69+P70+P71</f>
        <v>60000</v>
      </c>
      <c r="Q55" s="161">
        <f t="shared" si="30"/>
        <v>25000</v>
      </c>
      <c r="R55" s="161">
        <f>+R56+R57+R58+R59+R60+R61+R62+R63+R64+R67+R68+R69+R70+R71</f>
        <v>30000</v>
      </c>
      <c r="S55" s="161">
        <f t="shared" ref="S55:T55" si="31">+S56+S57+S58+S59+S60+S61+S62+S63+S64+S67+S68+S69+S70+S71</f>
        <v>25000</v>
      </c>
      <c r="T55" s="161">
        <f t="shared" si="31"/>
        <v>200000</v>
      </c>
      <c r="U55" s="161">
        <f>+U56+U57+U58+U59+U60+U61+U62+U63+U67+U64+U68+U69+U70+U71</f>
        <v>25000</v>
      </c>
      <c r="V55" s="161">
        <f t="shared" ref="V55:X55" si="32">+V56+V57+V58+V59+V60+V61+V62+V63+V67+V64+V68+V69+V70+V71</f>
        <v>200000</v>
      </c>
      <c r="W55" s="161">
        <f t="shared" si="32"/>
        <v>200000</v>
      </c>
      <c r="X55" s="161">
        <f t="shared" si="32"/>
        <v>0</v>
      </c>
      <c r="Y55" s="161">
        <f>Y56+Y57+Y58+Y59+Y60+Y61+Y62+Y63+Y64+Y67+Y68+Y69+Y70+Y71</f>
        <v>3846880</v>
      </c>
      <c r="Z55" s="161">
        <f>+Z56+Z57+Z58+Z59+Z60+Z61+Z62+Z63+Z64+Z67+Z68+Z69+Z70+Z71</f>
        <v>266880</v>
      </c>
      <c r="AA55" s="161">
        <f t="shared" si="7"/>
        <v>23149480</v>
      </c>
      <c r="AB55" s="137">
        <f t="shared" si="17"/>
        <v>5.0799249568290489E-2</v>
      </c>
    </row>
    <row r="56" spans="1:170" s="112" customFormat="1" ht="16.5" customHeight="1" x14ac:dyDescent="0.25">
      <c r="A56" s="164" t="s">
        <v>525</v>
      </c>
      <c r="B56" s="164" t="s">
        <v>526</v>
      </c>
      <c r="C56" s="144">
        <v>0</v>
      </c>
      <c r="D56" s="144">
        <v>0</v>
      </c>
      <c r="E56" s="144">
        <v>150000</v>
      </c>
      <c r="F56" s="144">
        <v>0</v>
      </c>
      <c r="G56" s="144">
        <v>0</v>
      </c>
      <c r="H56" s="144">
        <v>0</v>
      </c>
      <c r="I56" s="144">
        <v>0</v>
      </c>
      <c r="J56" s="144">
        <v>0</v>
      </c>
      <c r="K56" s="144">
        <v>0</v>
      </c>
      <c r="L56" s="144">
        <v>0</v>
      </c>
      <c r="M56" s="144">
        <v>0</v>
      </c>
      <c r="N56" s="144">
        <v>0</v>
      </c>
      <c r="O56" s="144">
        <v>0</v>
      </c>
      <c r="P56" s="144">
        <v>0</v>
      </c>
      <c r="Q56" s="144">
        <v>0</v>
      </c>
      <c r="R56" s="144">
        <v>0</v>
      </c>
      <c r="S56" s="144">
        <v>0</v>
      </c>
      <c r="T56" s="144">
        <v>0</v>
      </c>
      <c r="U56" s="144">
        <v>0</v>
      </c>
      <c r="V56" s="144">
        <v>0</v>
      </c>
      <c r="W56" s="144">
        <v>0</v>
      </c>
      <c r="X56" s="144"/>
      <c r="Y56" s="144">
        <v>0</v>
      </c>
      <c r="Z56" s="144">
        <v>0</v>
      </c>
      <c r="AA56" s="165">
        <f t="shared" si="7"/>
        <v>150000</v>
      </c>
      <c r="AB56" s="146">
        <f t="shared" si="17"/>
        <v>3.2916019864133336E-4</v>
      </c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18"/>
      <c r="BW56" s="118"/>
      <c r="BX56" s="118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8"/>
      <c r="CL56" s="118"/>
      <c r="CM56" s="118"/>
      <c r="CN56" s="118"/>
      <c r="CO56" s="118"/>
      <c r="CP56" s="118"/>
      <c r="CQ56" s="118"/>
      <c r="CR56" s="118"/>
      <c r="CS56" s="118"/>
      <c r="CT56" s="118"/>
      <c r="CU56" s="118"/>
      <c r="CV56" s="118"/>
      <c r="CW56" s="118"/>
      <c r="CX56" s="118"/>
      <c r="CY56" s="118"/>
      <c r="CZ56" s="118"/>
      <c r="DA56" s="118"/>
      <c r="DB56" s="118"/>
      <c r="DC56" s="118"/>
      <c r="DD56" s="118"/>
      <c r="DE56" s="118"/>
      <c r="DF56" s="118"/>
      <c r="DG56" s="118"/>
      <c r="DH56" s="118"/>
      <c r="DI56" s="118"/>
      <c r="DJ56" s="118"/>
      <c r="DK56" s="118"/>
      <c r="DL56" s="118"/>
      <c r="DM56" s="118"/>
      <c r="DN56" s="118"/>
      <c r="DO56" s="118"/>
      <c r="DP56" s="118"/>
      <c r="DQ56" s="118"/>
      <c r="DR56" s="118"/>
      <c r="DS56" s="118"/>
      <c r="DT56" s="118"/>
      <c r="DU56" s="118"/>
      <c r="DV56" s="118"/>
      <c r="DW56" s="118"/>
      <c r="DX56" s="118"/>
      <c r="DY56" s="118"/>
      <c r="DZ56" s="118"/>
      <c r="EA56" s="118"/>
      <c r="EB56" s="118"/>
      <c r="EC56" s="118"/>
      <c r="ED56" s="118"/>
      <c r="EE56" s="118"/>
      <c r="EF56" s="118"/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8"/>
      <c r="ER56" s="118"/>
      <c r="ES56" s="118"/>
      <c r="ET56" s="118"/>
      <c r="EU56" s="118"/>
      <c r="EV56" s="118"/>
      <c r="EW56" s="118"/>
      <c r="EX56" s="118"/>
      <c r="EY56" s="118"/>
      <c r="EZ56" s="118"/>
      <c r="FA56" s="118"/>
      <c r="FB56" s="118"/>
      <c r="FC56" s="118"/>
      <c r="FD56" s="118"/>
      <c r="FE56" s="118"/>
      <c r="FF56" s="118"/>
      <c r="FG56" s="118"/>
      <c r="FH56" s="118"/>
      <c r="FI56" s="118"/>
      <c r="FJ56" s="118"/>
      <c r="FK56" s="118"/>
      <c r="FL56" s="118"/>
      <c r="FM56" s="118"/>
      <c r="FN56" s="118"/>
    </row>
    <row r="57" spans="1:170" s="112" customFormat="1" ht="16.5" customHeight="1" x14ac:dyDescent="0.25">
      <c r="A57" s="166" t="s">
        <v>527</v>
      </c>
      <c r="B57" s="166" t="s">
        <v>528</v>
      </c>
      <c r="C57" s="144">
        <v>0</v>
      </c>
      <c r="D57" s="144">
        <v>0</v>
      </c>
      <c r="E57" s="144">
        <v>900000</v>
      </c>
      <c r="F57" s="144">
        <v>0</v>
      </c>
      <c r="G57" s="144">
        <v>0</v>
      </c>
      <c r="H57" s="144">
        <v>0</v>
      </c>
      <c r="I57" s="144">
        <v>0</v>
      </c>
      <c r="J57" s="144">
        <v>0</v>
      </c>
      <c r="K57" s="144">
        <v>0</v>
      </c>
      <c r="L57" s="144">
        <v>0</v>
      </c>
      <c r="M57" s="144">
        <v>0</v>
      </c>
      <c r="N57" s="144">
        <v>0</v>
      </c>
      <c r="O57" s="144">
        <v>0</v>
      </c>
      <c r="P57" s="144">
        <v>0</v>
      </c>
      <c r="Q57" s="144">
        <v>0</v>
      </c>
      <c r="R57" s="144">
        <v>0</v>
      </c>
      <c r="S57" s="144">
        <v>0</v>
      </c>
      <c r="T57" s="144">
        <v>0</v>
      </c>
      <c r="U57" s="144">
        <v>0</v>
      </c>
      <c r="V57" s="144">
        <v>0</v>
      </c>
      <c r="W57" s="144">
        <v>0</v>
      </c>
      <c r="X57" s="144"/>
      <c r="Y57" s="144">
        <v>0</v>
      </c>
      <c r="Z57" s="144">
        <v>0</v>
      </c>
      <c r="AA57" s="165">
        <f t="shared" si="7"/>
        <v>900000</v>
      </c>
      <c r="AB57" s="146">
        <f t="shared" si="17"/>
        <v>1.9749611918480001E-3</v>
      </c>
    </row>
    <row r="58" spans="1:170" s="112" customFormat="1" ht="12.95" customHeight="1" x14ac:dyDescent="0.25">
      <c r="A58" s="166" t="s">
        <v>529</v>
      </c>
      <c r="B58" s="166" t="s">
        <v>530</v>
      </c>
      <c r="C58" s="144">
        <v>0</v>
      </c>
      <c r="D58" s="144">
        <v>163200</v>
      </c>
      <c r="E58" s="144">
        <v>1300000</v>
      </c>
      <c r="F58" s="144">
        <v>0</v>
      </c>
      <c r="G58" s="144">
        <v>0</v>
      </c>
      <c r="H58" s="144"/>
      <c r="I58" s="144">
        <v>146880</v>
      </c>
      <c r="J58" s="144">
        <v>0</v>
      </c>
      <c r="K58" s="144">
        <v>146880</v>
      </c>
      <c r="L58" s="144">
        <v>146880</v>
      </c>
      <c r="M58" s="144">
        <v>0</v>
      </c>
      <c r="N58" s="144">
        <v>0</v>
      </c>
      <c r="O58" s="144">
        <v>146880</v>
      </c>
      <c r="P58" s="144">
        <v>0</v>
      </c>
      <c r="Q58" s="144">
        <v>0</v>
      </c>
      <c r="R58" s="144">
        <v>0</v>
      </c>
      <c r="S58" s="144">
        <v>0</v>
      </c>
      <c r="T58" s="144"/>
      <c r="U58" s="144">
        <v>0</v>
      </c>
      <c r="V58" s="144">
        <v>0</v>
      </c>
      <c r="W58" s="144">
        <v>0</v>
      </c>
      <c r="X58" s="144"/>
      <c r="Y58" s="144">
        <v>146880</v>
      </c>
      <c r="Z58" s="144">
        <v>146880</v>
      </c>
      <c r="AA58" s="165">
        <f t="shared" si="7"/>
        <v>2344480</v>
      </c>
      <c r="AB58" s="146">
        <f t="shared" si="17"/>
        <v>5.1447300167375551E-3</v>
      </c>
    </row>
    <row r="59" spans="1:170" s="112" customFormat="1" ht="12.95" customHeight="1" x14ac:dyDescent="0.25">
      <c r="A59" s="166" t="s">
        <v>531</v>
      </c>
      <c r="B59" s="166" t="s">
        <v>532</v>
      </c>
      <c r="C59" s="144">
        <v>0</v>
      </c>
      <c r="D59" s="144">
        <v>0</v>
      </c>
      <c r="E59" s="144">
        <v>100000</v>
      </c>
      <c r="F59" s="144">
        <v>10000</v>
      </c>
      <c r="G59" s="144">
        <v>10000</v>
      </c>
      <c r="H59" s="144"/>
      <c r="I59" s="144">
        <v>30000</v>
      </c>
      <c r="J59" s="144">
        <v>10000</v>
      </c>
      <c r="K59" s="144">
        <v>30000</v>
      </c>
      <c r="L59" s="144">
        <v>50000</v>
      </c>
      <c r="M59" s="144">
        <v>20000</v>
      </c>
      <c r="N59" s="144">
        <v>50000</v>
      </c>
      <c r="O59" s="144">
        <v>50000</v>
      </c>
      <c r="P59" s="144">
        <v>30000</v>
      </c>
      <c r="Q59" s="144">
        <v>10000</v>
      </c>
      <c r="R59" s="144">
        <v>10000</v>
      </c>
      <c r="S59" s="144">
        <v>10000</v>
      </c>
      <c r="T59" s="144">
        <v>50000</v>
      </c>
      <c r="U59" s="144">
        <v>10000</v>
      </c>
      <c r="V59" s="144">
        <v>50000</v>
      </c>
      <c r="W59" s="144">
        <v>50000</v>
      </c>
      <c r="X59" s="144"/>
      <c r="Y59" s="144">
        <v>50000</v>
      </c>
      <c r="Z59" s="144">
        <v>50000</v>
      </c>
      <c r="AA59" s="165">
        <f t="shared" si="7"/>
        <v>680000</v>
      </c>
      <c r="AB59" s="146">
        <f t="shared" si="17"/>
        <v>1.4921929005073779E-3</v>
      </c>
    </row>
    <row r="60" spans="1:170" s="112" customFormat="1" ht="12.75" customHeight="1" x14ac:dyDescent="0.25">
      <c r="A60" s="166" t="s">
        <v>533</v>
      </c>
      <c r="B60" s="166" t="s">
        <v>534</v>
      </c>
      <c r="C60" s="144">
        <v>0</v>
      </c>
      <c r="D60" s="144">
        <v>0</v>
      </c>
      <c r="E60" s="144">
        <v>800000</v>
      </c>
      <c r="F60" s="144">
        <v>0</v>
      </c>
      <c r="G60" s="144">
        <v>0</v>
      </c>
      <c r="H60" s="144">
        <v>0</v>
      </c>
      <c r="I60" s="144">
        <v>0</v>
      </c>
      <c r="J60" s="144">
        <v>0</v>
      </c>
      <c r="K60" s="144">
        <v>0</v>
      </c>
      <c r="L60" s="144">
        <v>0</v>
      </c>
      <c r="M60" s="144">
        <v>0</v>
      </c>
      <c r="N60" s="144">
        <v>0</v>
      </c>
      <c r="O60" s="144">
        <v>0</v>
      </c>
      <c r="P60" s="144">
        <v>0</v>
      </c>
      <c r="Q60" s="144">
        <v>0</v>
      </c>
      <c r="R60" s="144">
        <v>0</v>
      </c>
      <c r="S60" s="144">
        <v>0</v>
      </c>
      <c r="T60" s="144">
        <v>0</v>
      </c>
      <c r="U60" s="144">
        <v>0</v>
      </c>
      <c r="V60" s="144">
        <v>0</v>
      </c>
      <c r="W60" s="144">
        <v>0</v>
      </c>
      <c r="X60" s="144"/>
      <c r="Y60" s="144">
        <v>0</v>
      </c>
      <c r="Z60" s="144">
        <v>0</v>
      </c>
      <c r="AA60" s="165">
        <f t="shared" si="7"/>
        <v>800000</v>
      </c>
      <c r="AB60" s="146">
        <f t="shared" si="17"/>
        <v>1.7555210594204446E-3</v>
      </c>
    </row>
    <row r="61" spans="1:170" s="112" customFormat="1" ht="16.5" customHeight="1" x14ac:dyDescent="0.25">
      <c r="A61" s="166" t="s">
        <v>535</v>
      </c>
      <c r="B61" s="166" t="s">
        <v>536</v>
      </c>
      <c r="C61" s="144">
        <v>0</v>
      </c>
      <c r="D61" s="144">
        <v>0</v>
      </c>
      <c r="E61" s="144">
        <v>1400000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  <c r="M61" s="144">
        <v>0</v>
      </c>
      <c r="N61" s="144">
        <v>0</v>
      </c>
      <c r="O61" s="144">
        <v>0</v>
      </c>
      <c r="P61" s="144">
        <v>0</v>
      </c>
      <c r="Q61" s="144">
        <v>0</v>
      </c>
      <c r="R61" s="144">
        <v>0</v>
      </c>
      <c r="S61" s="144">
        <v>0</v>
      </c>
      <c r="T61" s="144">
        <v>0</v>
      </c>
      <c r="U61" s="144">
        <v>0</v>
      </c>
      <c r="V61" s="144">
        <v>0</v>
      </c>
      <c r="W61" s="144">
        <v>0</v>
      </c>
      <c r="X61" s="144"/>
      <c r="Y61" s="144">
        <v>0</v>
      </c>
      <c r="Z61" s="144">
        <v>0</v>
      </c>
      <c r="AA61" s="165">
        <f t="shared" si="7"/>
        <v>1400000</v>
      </c>
      <c r="AB61" s="146">
        <f t="shared" si="17"/>
        <v>3.0721618539857778E-3</v>
      </c>
    </row>
    <row r="62" spans="1:170" s="112" customFormat="1" ht="15.75" customHeight="1" x14ac:dyDescent="0.25">
      <c r="A62" s="166" t="s">
        <v>537</v>
      </c>
      <c r="B62" s="166" t="s">
        <v>538</v>
      </c>
      <c r="C62" s="144">
        <v>600000</v>
      </c>
      <c r="D62" s="144">
        <v>0</v>
      </c>
      <c r="E62" s="144">
        <v>400000</v>
      </c>
      <c r="F62" s="144">
        <v>0</v>
      </c>
      <c r="G62" s="144">
        <v>0</v>
      </c>
      <c r="H62" s="144">
        <v>0</v>
      </c>
      <c r="I62" s="144">
        <v>0</v>
      </c>
      <c r="J62" s="144">
        <v>0</v>
      </c>
      <c r="K62" s="144">
        <v>0</v>
      </c>
      <c r="L62" s="144">
        <v>0</v>
      </c>
      <c r="M62" s="144">
        <v>0</v>
      </c>
      <c r="N62" s="144">
        <v>0</v>
      </c>
      <c r="O62" s="144">
        <v>0</v>
      </c>
      <c r="P62" s="144">
        <v>0</v>
      </c>
      <c r="Q62" s="144">
        <v>0</v>
      </c>
      <c r="R62" s="144">
        <v>0</v>
      </c>
      <c r="S62" s="144">
        <v>0</v>
      </c>
      <c r="T62" s="144">
        <v>0</v>
      </c>
      <c r="U62" s="144">
        <v>0</v>
      </c>
      <c r="V62" s="144">
        <v>0</v>
      </c>
      <c r="W62" s="144">
        <v>0</v>
      </c>
      <c r="X62" s="144"/>
      <c r="Y62" s="144">
        <v>0</v>
      </c>
      <c r="Z62" s="144">
        <v>0</v>
      </c>
      <c r="AA62" s="165">
        <f t="shared" si="7"/>
        <v>1000000</v>
      </c>
      <c r="AB62" s="146">
        <f t="shared" si="17"/>
        <v>2.1944013242755555E-3</v>
      </c>
    </row>
    <row r="63" spans="1:170" s="112" customFormat="1" ht="16.5" customHeight="1" x14ac:dyDescent="0.25">
      <c r="A63" s="166" t="s">
        <v>539</v>
      </c>
      <c r="B63" s="166" t="s">
        <v>540</v>
      </c>
      <c r="C63" s="144">
        <v>150000</v>
      </c>
      <c r="D63" s="144">
        <v>400000</v>
      </c>
      <c r="E63" s="144">
        <v>0</v>
      </c>
      <c r="F63" s="144">
        <v>0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0</v>
      </c>
      <c r="M63" s="144">
        <v>0</v>
      </c>
      <c r="N63" s="144">
        <v>0</v>
      </c>
      <c r="O63" s="144">
        <v>0</v>
      </c>
      <c r="P63" s="144">
        <v>0</v>
      </c>
      <c r="Q63" s="144">
        <v>0</v>
      </c>
      <c r="R63" s="144">
        <v>0</v>
      </c>
      <c r="S63" s="144">
        <v>0</v>
      </c>
      <c r="T63" s="144">
        <v>0</v>
      </c>
      <c r="U63" s="144">
        <v>0</v>
      </c>
      <c r="V63" s="144">
        <v>0</v>
      </c>
      <c r="W63" s="144">
        <v>0</v>
      </c>
      <c r="X63" s="144"/>
      <c r="Y63" s="144">
        <v>0</v>
      </c>
      <c r="Z63" s="144">
        <v>0</v>
      </c>
      <c r="AA63" s="165">
        <f t="shared" si="7"/>
        <v>550000</v>
      </c>
      <c r="AB63" s="146">
        <f t="shared" si="17"/>
        <v>1.2069207283515557E-3</v>
      </c>
    </row>
    <row r="64" spans="1:170" s="112" customFormat="1" ht="15.75" x14ac:dyDescent="0.25">
      <c r="A64" s="166" t="s">
        <v>541</v>
      </c>
      <c r="B64" s="166" t="s">
        <v>542</v>
      </c>
      <c r="C64" s="144">
        <v>300000</v>
      </c>
      <c r="D64" s="144">
        <v>800000</v>
      </c>
      <c r="E64" s="144">
        <v>700000</v>
      </c>
      <c r="F64" s="144">
        <v>50000</v>
      </c>
      <c r="G64" s="144">
        <v>50000</v>
      </c>
      <c r="H64" s="144"/>
      <c r="I64" s="144">
        <v>150000</v>
      </c>
      <c r="J64" s="144">
        <v>30000</v>
      </c>
      <c r="K64" s="144">
        <v>250000</v>
      </c>
      <c r="L64" s="144">
        <v>250000</v>
      </c>
      <c r="M64" s="144">
        <v>50000</v>
      </c>
      <c r="N64" s="144">
        <v>80000</v>
      </c>
      <c r="O64" s="144">
        <v>250000</v>
      </c>
      <c r="P64" s="144">
        <v>30000</v>
      </c>
      <c r="Q64" s="144">
        <v>15000</v>
      </c>
      <c r="R64" s="144">
        <v>20000</v>
      </c>
      <c r="S64" s="144">
        <v>15000</v>
      </c>
      <c r="T64" s="144">
        <v>150000</v>
      </c>
      <c r="U64" s="144">
        <v>15000</v>
      </c>
      <c r="V64" s="144">
        <v>150000</v>
      </c>
      <c r="W64" s="144">
        <v>150000</v>
      </c>
      <c r="X64" s="144"/>
      <c r="Y64" s="144">
        <v>150000</v>
      </c>
      <c r="Z64" s="144">
        <v>70000</v>
      </c>
      <c r="AA64" s="165">
        <f t="shared" si="7"/>
        <v>3725000</v>
      </c>
      <c r="AB64" s="146">
        <f t="shared" si="17"/>
        <v>8.1741449329264457E-3</v>
      </c>
    </row>
    <row r="65" spans="1:170" s="112" customFormat="1" ht="14.25" hidden="1" customHeight="1" x14ac:dyDescent="0.25">
      <c r="A65" s="166" t="s">
        <v>543</v>
      </c>
      <c r="B65" s="166" t="s">
        <v>544</v>
      </c>
      <c r="C65" s="144" t="e">
        <v>#N/A</v>
      </c>
      <c r="D65" s="144" t="e">
        <v>#N/A</v>
      </c>
      <c r="E65" s="144" t="e">
        <v>#N/A</v>
      </c>
      <c r="F65" s="144" t="e">
        <v>#N/A</v>
      </c>
      <c r="G65" s="144" t="e">
        <v>#N/A</v>
      </c>
      <c r="H65" s="144" t="e">
        <v>#N/A</v>
      </c>
      <c r="I65" s="144" t="e">
        <v>#N/A</v>
      </c>
      <c r="J65" s="144" t="e">
        <v>#N/A</v>
      </c>
      <c r="K65" s="144" t="e">
        <v>#N/A</v>
      </c>
      <c r="L65" s="144" t="e">
        <v>#N/A</v>
      </c>
      <c r="M65" s="144" t="e">
        <v>#N/A</v>
      </c>
      <c r="N65" s="144" t="e">
        <v>#N/A</v>
      </c>
      <c r="O65" s="144" t="e">
        <v>#N/A</v>
      </c>
      <c r="P65" s="144" t="e">
        <v>#N/A</v>
      </c>
      <c r="Q65" s="144" t="e">
        <v>#N/A</v>
      </c>
      <c r="R65" s="144" t="e">
        <v>#N/A</v>
      </c>
      <c r="S65" s="144" t="e">
        <v>#N/A</v>
      </c>
      <c r="T65" s="144" t="e">
        <v>#N/A</v>
      </c>
      <c r="U65" s="144" t="e">
        <v>#N/A</v>
      </c>
      <c r="V65" s="144" t="e">
        <v>#N/A</v>
      </c>
      <c r="W65" s="144" t="e">
        <v>#N/A</v>
      </c>
      <c r="X65" s="144"/>
      <c r="Y65" s="144" t="e">
        <v>#N/A</v>
      </c>
      <c r="Z65" s="144" t="e">
        <v>#N/A</v>
      </c>
      <c r="AA65" s="165" t="e">
        <f t="shared" si="7"/>
        <v>#N/A</v>
      </c>
      <c r="AB65" s="146" t="e">
        <f t="shared" si="17"/>
        <v>#N/A</v>
      </c>
    </row>
    <row r="66" spans="1:170" s="112" customFormat="1" ht="13.5" hidden="1" customHeight="1" x14ac:dyDescent="0.25">
      <c r="A66" s="166" t="s">
        <v>545</v>
      </c>
      <c r="B66" s="166" t="s">
        <v>546</v>
      </c>
      <c r="C66" s="144">
        <v>0</v>
      </c>
      <c r="D66" s="144">
        <v>0</v>
      </c>
      <c r="E66" s="144">
        <v>100000</v>
      </c>
      <c r="F66" s="144">
        <v>40000</v>
      </c>
      <c r="G66" s="144">
        <v>0</v>
      </c>
      <c r="H66" s="144">
        <v>0</v>
      </c>
      <c r="I66" s="144">
        <v>0</v>
      </c>
      <c r="J66" s="144">
        <v>0</v>
      </c>
      <c r="K66" s="144">
        <v>0</v>
      </c>
      <c r="L66" s="144">
        <v>0</v>
      </c>
      <c r="M66" s="144">
        <v>0</v>
      </c>
      <c r="N66" s="144">
        <v>0</v>
      </c>
      <c r="O66" s="144">
        <v>0</v>
      </c>
      <c r="P66" s="144">
        <v>0</v>
      </c>
      <c r="Q66" s="144">
        <v>0</v>
      </c>
      <c r="R66" s="144">
        <v>0</v>
      </c>
      <c r="S66" s="144">
        <v>0</v>
      </c>
      <c r="T66" s="144">
        <v>0</v>
      </c>
      <c r="U66" s="144">
        <v>0</v>
      </c>
      <c r="V66" s="144">
        <v>0</v>
      </c>
      <c r="W66" s="144">
        <v>0</v>
      </c>
      <c r="X66" s="144"/>
      <c r="Y66" s="144">
        <v>0</v>
      </c>
      <c r="Z66" s="144">
        <v>0</v>
      </c>
      <c r="AA66" s="165">
        <f t="shared" si="7"/>
        <v>140000</v>
      </c>
      <c r="AB66" s="146">
        <f t="shared" si="17"/>
        <v>3.072161853985778E-4</v>
      </c>
    </row>
    <row r="67" spans="1:170" s="112" customFormat="1" ht="13.5" customHeight="1" x14ac:dyDescent="0.25">
      <c r="A67" s="166" t="s">
        <v>545</v>
      </c>
      <c r="B67" s="166" t="s">
        <v>547</v>
      </c>
      <c r="C67" s="144">
        <v>0</v>
      </c>
      <c r="D67" s="144">
        <v>0</v>
      </c>
      <c r="E67" s="144">
        <v>100000</v>
      </c>
      <c r="F67" s="144"/>
      <c r="G67" s="144">
        <v>0</v>
      </c>
      <c r="H67" s="144">
        <v>0</v>
      </c>
      <c r="I67" s="144">
        <v>0</v>
      </c>
      <c r="J67" s="144">
        <v>0</v>
      </c>
      <c r="K67" s="144">
        <v>0</v>
      </c>
      <c r="L67" s="144">
        <v>0</v>
      </c>
      <c r="M67" s="144">
        <v>0</v>
      </c>
      <c r="N67" s="144">
        <v>0</v>
      </c>
      <c r="O67" s="144">
        <v>0</v>
      </c>
      <c r="P67" s="144">
        <v>0</v>
      </c>
      <c r="Q67" s="144">
        <v>0</v>
      </c>
      <c r="R67" s="144">
        <v>0</v>
      </c>
      <c r="S67" s="144">
        <v>0</v>
      </c>
      <c r="T67" s="144">
        <v>0</v>
      </c>
      <c r="U67" s="144">
        <v>0</v>
      </c>
      <c r="V67" s="144">
        <v>0</v>
      </c>
      <c r="W67" s="144">
        <v>0</v>
      </c>
      <c r="X67" s="144"/>
      <c r="Y67" s="144">
        <v>0</v>
      </c>
      <c r="Z67" s="144">
        <v>0</v>
      </c>
      <c r="AA67" s="165">
        <f t="shared" si="7"/>
        <v>100000</v>
      </c>
      <c r="AB67" s="146">
        <f t="shared" si="17"/>
        <v>2.1944013242755557E-4</v>
      </c>
    </row>
    <row r="68" spans="1:170" s="112" customFormat="1" ht="12.95" customHeight="1" x14ac:dyDescent="0.25">
      <c r="A68" s="166" t="s">
        <v>548</v>
      </c>
      <c r="B68" s="166" t="s">
        <v>549</v>
      </c>
      <c r="C68" s="144">
        <v>0</v>
      </c>
      <c r="D68" s="144">
        <v>0</v>
      </c>
      <c r="E68" s="144">
        <v>0</v>
      </c>
      <c r="F68" s="144">
        <v>0</v>
      </c>
      <c r="G68" s="144">
        <v>0</v>
      </c>
      <c r="H68" s="144">
        <v>0</v>
      </c>
      <c r="I68" s="144">
        <v>0</v>
      </c>
      <c r="J68" s="144">
        <v>0</v>
      </c>
      <c r="K68" s="144">
        <v>0</v>
      </c>
      <c r="L68" s="144">
        <v>0</v>
      </c>
      <c r="M68" s="144">
        <v>0</v>
      </c>
      <c r="N68" s="144">
        <v>0</v>
      </c>
      <c r="O68" s="144">
        <v>0</v>
      </c>
      <c r="P68" s="144">
        <v>0</v>
      </c>
      <c r="Q68" s="144">
        <v>0</v>
      </c>
      <c r="R68" s="144">
        <v>0</v>
      </c>
      <c r="S68" s="144">
        <v>0</v>
      </c>
      <c r="T68" s="144">
        <v>0</v>
      </c>
      <c r="U68" s="144">
        <v>0</v>
      </c>
      <c r="V68" s="144">
        <v>0</v>
      </c>
      <c r="W68" s="144">
        <v>0</v>
      </c>
      <c r="X68" s="144"/>
      <c r="Y68" s="144">
        <v>0</v>
      </c>
      <c r="Z68" s="144">
        <v>0</v>
      </c>
      <c r="AA68" s="144">
        <f t="shared" si="7"/>
        <v>0</v>
      </c>
      <c r="AB68" s="146">
        <f>AA68/$AA$9</f>
        <v>0</v>
      </c>
    </row>
    <row r="69" spans="1:170" s="112" customFormat="1" ht="18" customHeight="1" x14ac:dyDescent="0.25">
      <c r="A69" s="166" t="s">
        <v>439</v>
      </c>
      <c r="B69" s="166" t="s">
        <v>550</v>
      </c>
      <c r="C69" s="144">
        <v>0</v>
      </c>
      <c r="D69" s="144">
        <v>0</v>
      </c>
      <c r="E69" s="144">
        <v>5000000</v>
      </c>
      <c r="F69" s="144">
        <v>0</v>
      </c>
      <c r="G69" s="144">
        <v>0</v>
      </c>
      <c r="H69" s="144">
        <v>0</v>
      </c>
      <c r="I69" s="144">
        <v>0</v>
      </c>
      <c r="J69" s="144">
        <v>0</v>
      </c>
      <c r="K69" s="633">
        <f>+GETPIVOTDATA("valor",Sheet1!$I$2,"rubrica","02.02.02.01.03.01","cc","Dir. Turismo, Investimento e Emprendedorismo")</f>
        <v>2000000</v>
      </c>
      <c r="L69" s="144">
        <v>0</v>
      </c>
      <c r="M69" s="144">
        <v>0</v>
      </c>
      <c r="N69" s="144">
        <v>0</v>
      </c>
      <c r="O69" s="144">
        <v>0</v>
      </c>
      <c r="P69" s="144">
        <v>0</v>
      </c>
      <c r="Q69" s="144">
        <v>0</v>
      </c>
      <c r="R69" s="144">
        <v>0</v>
      </c>
      <c r="S69" s="144">
        <v>0</v>
      </c>
      <c r="T69" s="144">
        <v>0</v>
      </c>
      <c r="U69" s="144">
        <v>0</v>
      </c>
      <c r="V69" s="144">
        <v>0</v>
      </c>
      <c r="W69" s="144">
        <v>0</v>
      </c>
      <c r="X69" s="144"/>
      <c r="Y69" s="633">
        <f>+GETPIVOTDATA("valor",Sheet1!$I$2,"rubrica","02.02.02.01.03.01","cc","Direção de Obras")</f>
        <v>3500000</v>
      </c>
      <c r="Z69" s="149"/>
      <c r="AA69" s="165">
        <f t="shared" si="7"/>
        <v>10500000</v>
      </c>
      <c r="AB69" s="146">
        <f>AA69/$AA$9</f>
        <v>2.3041213904893335E-2</v>
      </c>
    </row>
    <row r="70" spans="1:170" s="112" customFormat="1" ht="17.25" customHeight="1" x14ac:dyDescent="0.25">
      <c r="A70" s="164" t="s">
        <v>551</v>
      </c>
      <c r="B70" s="164" t="s">
        <v>552</v>
      </c>
      <c r="C70" s="144">
        <v>0</v>
      </c>
      <c r="D70" s="144">
        <v>0</v>
      </c>
      <c r="E70" s="144">
        <v>0</v>
      </c>
      <c r="F70" s="144">
        <v>0</v>
      </c>
      <c r="G70" s="144">
        <v>0</v>
      </c>
      <c r="H70" s="144">
        <v>0</v>
      </c>
      <c r="I70" s="144">
        <v>0</v>
      </c>
      <c r="J70" s="144">
        <v>0</v>
      </c>
      <c r="K70" s="144">
        <v>0</v>
      </c>
      <c r="L70" s="144">
        <v>0</v>
      </c>
      <c r="M70" s="144">
        <v>0</v>
      </c>
      <c r="N70" s="144">
        <v>0</v>
      </c>
      <c r="O70" s="144">
        <v>0</v>
      </c>
      <c r="P70" s="144">
        <v>0</v>
      </c>
      <c r="Q70" s="144">
        <v>0</v>
      </c>
      <c r="R70" s="144">
        <v>0</v>
      </c>
      <c r="S70" s="144">
        <v>0</v>
      </c>
      <c r="T70" s="144">
        <v>0</v>
      </c>
      <c r="U70" s="144">
        <v>0</v>
      </c>
      <c r="V70" s="144">
        <v>0</v>
      </c>
      <c r="W70" s="144">
        <v>0</v>
      </c>
      <c r="X70" s="144"/>
      <c r="Y70" s="144">
        <v>0</v>
      </c>
      <c r="Z70" s="144">
        <v>0</v>
      </c>
      <c r="AA70" s="144">
        <f t="shared" si="7"/>
        <v>0</v>
      </c>
      <c r="AB70" s="146">
        <f>AA70/$AA$9</f>
        <v>0</v>
      </c>
      <c r="BA70" s="118"/>
      <c r="BB70" s="118"/>
      <c r="BC70" s="118"/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8"/>
      <c r="BX70" s="118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118"/>
      <c r="CS70" s="118"/>
      <c r="CT70" s="118"/>
      <c r="CU70" s="118"/>
      <c r="CV70" s="118"/>
      <c r="CW70" s="118"/>
      <c r="CX70" s="118"/>
      <c r="CY70" s="118"/>
      <c r="CZ70" s="118"/>
      <c r="DA70" s="118"/>
      <c r="DB70" s="118"/>
      <c r="DC70" s="118"/>
      <c r="DD70" s="118"/>
      <c r="DE70" s="118"/>
      <c r="DF70" s="118"/>
      <c r="DG70" s="118"/>
      <c r="DH70" s="118"/>
      <c r="DI70" s="118"/>
      <c r="DJ70" s="118"/>
      <c r="DK70" s="118"/>
      <c r="DL70" s="118"/>
      <c r="DM70" s="118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18"/>
      <c r="DZ70" s="118"/>
      <c r="EA70" s="118"/>
      <c r="EB70" s="118"/>
      <c r="EC70" s="118"/>
      <c r="ED70" s="118"/>
      <c r="EE70" s="118"/>
      <c r="EF70" s="118"/>
      <c r="EG70" s="118"/>
      <c r="EH70" s="118"/>
      <c r="EI70" s="118"/>
      <c r="EJ70" s="118"/>
      <c r="EK70" s="118"/>
      <c r="EL70" s="118"/>
      <c r="EM70" s="118"/>
      <c r="EN70" s="118"/>
      <c r="EO70" s="118"/>
      <c r="EP70" s="118"/>
      <c r="EQ70" s="118"/>
      <c r="ER70" s="118"/>
      <c r="ES70" s="118"/>
      <c r="ET70" s="118"/>
      <c r="EU70" s="118"/>
      <c r="EV70" s="118"/>
      <c r="EW70" s="118"/>
      <c r="EX70" s="118"/>
      <c r="EY70" s="118"/>
      <c r="EZ70" s="118"/>
      <c r="FA70" s="118"/>
      <c r="FB70" s="118"/>
      <c r="FC70" s="118"/>
      <c r="FD70" s="118"/>
      <c r="FE70" s="118"/>
      <c r="FF70" s="118"/>
      <c r="FG70" s="118"/>
      <c r="FH70" s="118"/>
      <c r="FI70" s="118"/>
      <c r="FJ70" s="118"/>
      <c r="FK70" s="118"/>
      <c r="FL70" s="118"/>
      <c r="FM70" s="118"/>
      <c r="FN70" s="118"/>
    </row>
    <row r="71" spans="1:170" s="167" customFormat="1" ht="18" customHeight="1" x14ac:dyDescent="0.25">
      <c r="A71" s="150" t="s">
        <v>553</v>
      </c>
      <c r="B71" s="150" t="s">
        <v>554</v>
      </c>
      <c r="C71" s="144">
        <v>0</v>
      </c>
      <c r="D71" s="144">
        <v>0</v>
      </c>
      <c r="E71" s="144">
        <v>1000000</v>
      </c>
      <c r="F71" s="144">
        <v>0</v>
      </c>
      <c r="G71" s="144">
        <v>0</v>
      </c>
      <c r="H71" s="144">
        <v>0</v>
      </c>
      <c r="I71" s="144">
        <v>0</v>
      </c>
      <c r="J71" s="144">
        <v>0</v>
      </c>
      <c r="K71" s="144">
        <v>0</v>
      </c>
      <c r="L71" s="144">
        <v>0</v>
      </c>
      <c r="M71" s="144">
        <v>0</v>
      </c>
      <c r="N71" s="144">
        <v>0</v>
      </c>
      <c r="O71" s="144">
        <v>0</v>
      </c>
      <c r="P71" s="144">
        <v>0</v>
      </c>
      <c r="Q71" s="144">
        <v>0</v>
      </c>
      <c r="R71" s="144">
        <v>0</v>
      </c>
      <c r="S71" s="144">
        <v>0</v>
      </c>
      <c r="T71" s="144">
        <v>0</v>
      </c>
      <c r="U71" s="144">
        <v>0</v>
      </c>
      <c r="V71" s="144">
        <v>0</v>
      </c>
      <c r="W71" s="144">
        <v>0</v>
      </c>
      <c r="X71" s="144"/>
      <c r="Y71" s="144">
        <v>0</v>
      </c>
      <c r="Z71" s="144">
        <v>0</v>
      </c>
      <c r="AA71" s="144">
        <f t="shared" si="7"/>
        <v>1000000</v>
      </c>
      <c r="AB71" s="146">
        <f>AA71/$AA$9</f>
        <v>2.1944013242755555E-3</v>
      </c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</row>
    <row r="72" spans="1:170" s="133" customFormat="1" ht="15" customHeight="1" x14ac:dyDescent="0.2">
      <c r="A72" s="158" t="s">
        <v>555</v>
      </c>
      <c r="B72" s="158" t="s">
        <v>556</v>
      </c>
      <c r="C72" s="159">
        <f>C73+C74</f>
        <v>0</v>
      </c>
      <c r="D72" s="159">
        <f>D73+D74</f>
        <v>0</v>
      </c>
      <c r="E72" s="159">
        <f>E73+E74</f>
        <v>9136765</v>
      </c>
      <c r="F72" s="159">
        <f>F73+F74</f>
        <v>0</v>
      </c>
      <c r="G72" s="159">
        <f>G74</f>
        <v>0</v>
      </c>
      <c r="H72" s="159">
        <f>H74</f>
        <v>0</v>
      </c>
      <c r="I72" s="159">
        <f>+I74</f>
        <v>0</v>
      </c>
      <c r="J72" s="159">
        <f>+J74</f>
        <v>0</v>
      </c>
      <c r="K72" s="159">
        <f>+K74</f>
        <v>0</v>
      </c>
      <c r="L72" s="159">
        <f>+L74</f>
        <v>0</v>
      </c>
      <c r="M72" s="159">
        <f>+M74</f>
        <v>0</v>
      </c>
      <c r="N72" s="159">
        <f>N74</f>
        <v>0</v>
      </c>
      <c r="O72" s="159">
        <f>O74</f>
        <v>0</v>
      </c>
      <c r="P72" s="159">
        <f>+P74</f>
        <v>0</v>
      </c>
      <c r="Q72" s="159">
        <f>Q74</f>
        <v>0</v>
      </c>
      <c r="R72" s="159">
        <v>0</v>
      </c>
      <c r="S72" s="159">
        <v>0</v>
      </c>
      <c r="T72" s="159">
        <v>0</v>
      </c>
      <c r="U72" s="159">
        <v>0</v>
      </c>
      <c r="V72" s="159">
        <v>0</v>
      </c>
      <c r="W72" s="159">
        <v>0</v>
      </c>
      <c r="X72" s="159">
        <v>0</v>
      </c>
      <c r="Y72" s="159">
        <f>Y74</f>
        <v>0</v>
      </c>
      <c r="Z72" s="159">
        <f>Z74</f>
        <v>0</v>
      </c>
      <c r="AA72" s="159">
        <f t="shared" si="7"/>
        <v>9136765</v>
      </c>
      <c r="AB72" s="131">
        <f>AA72/$AA$9</f>
        <v>2.0049729215594548E-2</v>
      </c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  <c r="CE72" s="112"/>
      <c r="CF72" s="112"/>
      <c r="CG72" s="112"/>
      <c r="CH72" s="112"/>
      <c r="CI72" s="112"/>
      <c r="CJ72" s="112"/>
      <c r="CK72" s="112"/>
      <c r="CL72" s="112"/>
      <c r="CM72" s="112"/>
      <c r="CN72" s="112"/>
      <c r="CO72" s="112"/>
      <c r="CP72" s="112"/>
      <c r="CQ72" s="112"/>
      <c r="CR72" s="112"/>
      <c r="CS72" s="112"/>
      <c r="CT72" s="112"/>
      <c r="CU72" s="112"/>
      <c r="CV72" s="112"/>
      <c r="CW72" s="112"/>
      <c r="CX72" s="112"/>
      <c r="CY72" s="112"/>
      <c r="CZ72" s="112"/>
      <c r="DA72" s="112"/>
      <c r="DB72" s="112"/>
      <c r="DC72" s="112"/>
      <c r="DD72" s="112"/>
      <c r="DE72" s="112"/>
      <c r="DF72" s="112"/>
      <c r="DG72" s="112"/>
      <c r="DH72" s="112"/>
      <c r="DI72" s="112"/>
      <c r="DJ72" s="112"/>
      <c r="DK72" s="112"/>
      <c r="DL72" s="112"/>
      <c r="DM72" s="112"/>
      <c r="DN72" s="112"/>
      <c r="DO72" s="112"/>
      <c r="DP72" s="112"/>
      <c r="DQ72" s="112"/>
      <c r="DR72" s="112"/>
      <c r="DS72" s="112"/>
      <c r="DT72" s="112"/>
      <c r="DU72" s="112"/>
      <c r="DV72" s="112"/>
      <c r="DW72" s="112"/>
      <c r="DX72" s="112"/>
      <c r="DY72" s="112"/>
      <c r="DZ72" s="112"/>
      <c r="EA72" s="112"/>
      <c r="EB72" s="112"/>
      <c r="EC72" s="112"/>
      <c r="ED72" s="112"/>
      <c r="EE72" s="112"/>
      <c r="EF72" s="112"/>
      <c r="EG72" s="112"/>
      <c r="EH72" s="112"/>
      <c r="EI72" s="112"/>
      <c r="EJ72" s="112"/>
      <c r="EK72" s="112"/>
      <c r="EL72" s="112"/>
      <c r="EM72" s="112"/>
      <c r="EN72" s="112"/>
      <c r="EO72" s="112"/>
      <c r="EP72" s="112"/>
      <c r="EQ72" s="112"/>
      <c r="ER72" s="112"/>
      <c r="ES72" s="112"/>
      <c r="ET72" s="112"/>
      <c r="EU72" s="112"/>
      <c r="EV72" s="112"/>
      <c r="EW72" s="112"/>
      <c r="EX72" s="112"/>
      <c r="EY72" s="112"/>
      <c r="EZ72" s="112"/>
      <c r="FA72" s="112"/>
      <c r="FB72" s="112"/>
      <c r="FC72" s="112"/>
      <c r="FD72" s="112"/>
      <c r="FE72" s="112"/>
      <c r="FF72" s="112"/>
      <c r="FG72" s="112"/>
      <c r="FH72" s="112"/>
      <c r="FI72" s="112"/>
      <c r="FJ72" s="112"/>
      <c r="FK72" s="112"/>
      <c r="FL72" s="112"/>
      <c r="FM72" s="112"/>
      <c r="FN72" s="112"/>
    </row>
    <row r="73" spans="1:170" s="112" customFormat="1" ht="15" hidden="1" customHeight="1" x14ac:dyDescent="0.25">
      <c r="A73" s="164" t="s">
        <v>557</v>
      </c>
      <c r="B73" s="169" t="s">
        <v>558</v>
      </c>
      <c r="C73" s="170">
        <v>0</v>
      </c>
      <c r="D73" s="170">
        <v>0</v>
      </c>
      <c r="E73" s="170">
        <v>0</v>
      </c>
      <c r="F73" s="165">
        <v>0</v>
      </c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71">
        <f t="shared" si="7"/>
        <v>0</v>
      </c>
      <c r="AB73" s="172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8"/>
      <c r="BW73" s="118"/>
      <c r="BX73" s="118"/>
      <c r="BY73" s="118"/>
      <c r="BZ73" s="118"/>
      <c r="CA73" s="118"/>
      <c r="CB73" s="118"/>
      <c r="CC73" s="118"/>
      <c r="CD73" s="118"/>
      <c r="CE73" s="118"/>
      <c r="CF73" s="118"/>
      <c r="CG73" s="118"/>
      <c r="CH73" s="118"/>
      <c r="CI73" s="118"/>
      <c r="CJ73" s="118"/>
      <c r="CK73" s="118"/>
      <c r="CL73" s="118"/>
      <c r="CM73" s="118"/>
      <c r="CN73" s="118"/>
      <c r="CO73" s="118"/>
      <c r="CP73" s="118"/>
      <c r="CQ73" s="118"/>
      <c r="CR73" s="118"/>
      <c r="CS73" s="118"/>
      <c r="CT73" s="118"/>
      <c r="CU73" s="118"/>
      <c r="CV73" s="118"/>
      <c r="CW73" s="118"/>
      <c r="CX73" s="118"/>
      <c r="CY73" s="118"/>
      <c r="CZ73" s="118"/>
      <c r="DA73" s="118"/>
      <c r="DB73" s="118"/>
      <c r="DC73" s="118"/>
      <c r="DD73" s="118"/>
      <c r="DE73" s="118"/>
      <c r="DF73" s="118"/>
      <c r="DG73" s="118"/>
      <c r="DH73" s="118"/>
      <c r="DI73" s="118"/>
      <c r="DJ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18"/>
      <c r="EA73" s="118"/>
      <c r="EB73" s="118"/>
      <c r="EC73" s="118"/>
      <c r="ED73" s="118"/>
      <c r="EE73" s="118"/>
      <c r="EF73" s="118"/>
      <c r="EG73" s="118"/>
      <c r="EH73" s="118"/>
      <c r="EI73" s="118"/>
      <c r="EJ73" s="118"/>
      <c r="EK73" s="118"/>
      <c r="EL73" s="118"/>
      <c r="EM73" s="118"/>
      <c r="EN73" s="118"/>
      <c r="EO73" s="118"/>
      <c r="EP73" s="118"/>
      <c r="EQ73" s="118"/>
      <c r="ER73" s="118"/>
      <c r="ES73" s="118"/>
      <c r="ET73" s="118"/>
      <c r="EU73" s="118"/>
      <c r="EV73" s="118"/>
      <c r="EW73" s="118"/>
      <c r="EX73" s="118"/>
      <c r="EY73" s="118"/>
      <c r="EZ73" s="118"/>
      <c r="FA73" s="118"/>
      <c r="FB73" s="118"/>
      <c r="FC73" s="118"/>
      <c r="FD73" s="118"/>
      <c r="FE73" s="118"/>
      <c r="FF73" s="118"/>
      <c r="FG73" s="118"/>
      <c r="FH73" s="118"/>
      <c r="FI73" s="118"/>
      <c r="FJ73" s="118"/>
      <c r="FK73" s="118"/>
      <c r="FL73" s="118"/>
      <c r="FM73" s="118"/>
      <c r="FN73" s="118"/>
    </row>
    <row r="74" spans="1:170" s="112" customFormat="1" ht="18.75" customHeight="1" x14ac:dyDescent="0.25">
      <c r="A74" s="166" t="s">
        <v>559</v>
      </c>
      <c r="B74" s="173" t="s">
        <v>560</v>
      </c>
      <c r="C74" s="144">
        <v>0</v>
      </c>
      <c r="D74" s="144">
        <v>0</v>
      </c>
      <c r="E74" s="144">
        <f>+GETPIVOTDATA("Soma de juros",'anexo planofinanceiro'!$O$7)</f>
        <v>9136765</v>
      </c>
      <c r="F74" s="144">
        <v>0</v>
      </c>
      <c r="G74" s="144">
        <v>0</v>
      </c>
      <c r="H74" s="144">
        <v>0</v>
      </c>
      <c r="I74" s="144">
        <v>0</v>
      </c>
      <c r="J74" s="144">
        <v>0</v>
      </c>
      <c r="K74" s="144">
        <v>0</v>
      </c>
      <c r="L74" s="144">
        <v>0</v>
      </c>
      <c r="M74" s="144">
        <v>0</v>
      </c>
      <c r="N74" s="144">
        <v>0</v>
      </c>
      <c r="O74" s="144">
        <v>0</v>
      </c>
      <c r="P74" s="144">
        <v>0</v>
      </c>
      <c r="Q74" s="144">
        <v>0</v>
      </c>
      <c r="R74" s="144">
        <v>0</v>
      </c>
      <c r="S74" s="144">
        <v>0</v>
      </c>
      <c r="T74" s="144">
        <v>0</v>
      </c>
      <c r="U74" s="144">
        <v>0</v>
      </c>
      <c r="V74" s="144">
        <v>0</v>
      </c>
      <c r="W74" s="144">
        <v>0</v>
      </c>
      <c r="X74" s="144"/>
      <c r="Y74" s="144">
        <v>0</v>
      </c>
      <c r="Z74" s="144">
        <v>0</v>
      </c>
      <c r="AA74" s="174">
        <f t="shared" ref="AA74:AA137" si="33">+SUM(C74:Z74)</f>
        <v>9136765</v>
      </c>
      <c r="AB74" s="146">
        <f>AA74/$AA$9</f>
        <v>2.0049729215594548E-2</v>
      </c>
    </row>
    <row r="75" spans="1:170" s="133" customFormat="1" ht="16.5" hidden="1" customHeight="1" x14ac:dyDescent="0.2">
      <c r="A75" s="175" t="s">
        <v>561</v>
      </c>
      <c r="B75" s="175" t="s">
        <v>562</v>
      </c>
      <c r="C75" s="176"/>
      <c r="D75" s="176"/>
      <c r="E75" s="176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71">
        <f t="shared" si="33"/>
        <v>0</v>
      </c>
      <c r="AB75" s="17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  <c r="EJ75" s="118"/>
      <c r="EK75" s="118"/>
      <c r="EL75" s="118"/>
      <c r="EM75" s="118"/>
      <c r="EN75" s="118"/>
      <c r="EO75" s="118"/>
      <c r="EP75" s="118"/>
      <c r="EQ75" s="118"/>
      <c r="ER75" s="118"/>
      <c r="ES75" s="118"/>
      <c r="ET75" s="118"/>
      <c r="EU75" s="118"/>
      <c r="EV75" s="118"/>
      <c r="EW75" s="118"/>
      <c r="EX75" s="118"/>
      <c r="EY75" s="118"/>
      <c r="EZ75" s="118"/>
      <c r="FA75" s="118"/>
      <c r="FB75" s="118"/>
      <c r="FC75" s="118"/>
      <c r="FD75" s="118"/>
      <c r="FE75" s="118"/>
      <c r="FF75" s="118"/>
      <c r="FG75" s="118"/>
      <c r="FH75" s="118"/>
      <c r="FI75" s="118"/>
      <c r="FJ75" s="118"/>
      <c r="FK75" s="118"/>
      <c r="FL75" s="118"/>
      <c r="FM75" s="118"/>
      <c r="FN75" s="118"/>
    </row>
    <row r="76" spans="1:170" s="112" customFormat="1" ht="12.95" hidden="1" customHeight="1" x14ac:dyDescent="0.25">
      <c r="A76" s="177" t="s">
        <v>563</v>
      </c>
      <c r="B76" s="178" t="s">
        <v>564</v>
      </c>
      <c r="C76" s="179"/>
      <c r="D76" s="179"/>
      <c r="E76" s="179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71">
        <f t="shared" si="33"/>
        <v>0</v>
      </c>
      <c r="AB76" s="172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18"/>
      <c r="EA76" s="118"/>
      <c r="EB76" s="118"/>
      <c r="EC76" s="118"/>
      <c r="ED76" s="118"/>
      <c r="EE76" s="118"/>
      <c r="EF76" s="118"/>
      <c r="EG76" s="118"/>
      <c r="EH76" s="118"/>
      <c r="EI76" s="118"/>
      <c r="EJ76" s="118"/>
      <c r="EK76" s="118"/>
      <c r="EL76" s="118"/>
      <c r="EM76" s="118"/>
      <c r="EN76" s="118"/>
      <c r="EO76" s="118"/>
      <c r="EP76" s="118"/>
      <c r="EQ76" s="118"/>
      <c r="ER76" s="118"/>
      <c r="ES76" s="118"/>
      <c r="ET76" s="118"/>
      <c r="EU76" s="118"/>
      <c r="EV76" s="118"/>
      <c r="EW76" s="118"/>
      <c r="EX76" s="118"/>
      <c r="EY76" s="118"/>
      <c r="EZ76" s="118"/>
      <c r="FA76" s="118"/>
      <c r="FB76" s="118"/>
      <c r="FC76" s="118"/>
      <c r="FD76" s="118"/>
      <c r="FE76" s="118"/>
      <c r="FF76" s="118"/>
      <c r="FG76" s="118"/>
      <c r="FH76" s="118"/>
      <c r="FI76" s="118"/>
      <c r="FJ76" s="118"/>
      <c r="FK76" s="118"/>
      <c r="FL76" s="118"/>
      <c r="FM76" s="118"/>
      <c r="FN76" s="118"/>
    </row>
    <row r="77" spans="1:170" s="112" customFormat="1" ht="12.95" hidden="1" customHeight="1" x14ac:dyDescent="0.25">
      <c r="A77" s="164" t="s">
        <v>565</v>
      </c>
      <c r="B77" s="169" t="s">
        <v>566</v>
      </c>
      <c r="C77" s="170"/>
      <c r="D77" s="170"/>
      <c r="E77" s="170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71">
        <f t="shared" si="33"/>
        <v>0</v>
      </c>
      <c r="AB77" s="172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  <c r="EJ77" s="118"/>
      <c r="EK77" s="118"/>
      <c r="EL77" s="118"/>
      <c r="EM77" s="118"/>
      <c r="EN77" s="118"/>
      <c r="EO77" s="118"/>
      <c r="EP77" s="118"/>
      <c r="EQ77" s="118"/>
      <c r="ER77" s="118"/>
      <c r="ES77" s="118"/>
      <c r="ET77" s="118"/>
      <c r="EU77" s="118"/>
      <c r="EV77" s="118"/>
      <c r="EW77" s="118"/>
      <c r="EX77" s="118"/>
      <c r="EY77" s="118"/>
      <c r="EZ77" s="118"/>
      <c r="FA77" s="118"/>
      <c r="FB77" s="118"/>
      <c r="FC77" s="118"/>
      <c r="FD77" s="118"/>
      <c r="FE77" s="118"/>
      <c r="FF77" s="118"/>
      <c r="FG77" s="118"/>
      <c r="FH77" s="118"/>
      <c r="FI77" s="118"/>
      <c r="FJ77" s="118"/>
      <c r="FK77" s="118"/>
      <c r="FL77" s="118"/>
      <c r="FM77" s="118"/>
      <c r="FN77" s="118"/>
    </row>
    <row r="78" spans="1:170" s="112" customFormat="1" ht="12.95" hidden="1" customHeight="1" x14ac:dyDescent="0.25">
      <c r="A78" s="164" t="s">
        <v>567</v>
      </c>
      <c r="B78" s="169" t="s">
        <v>568</v>
      </c>
      <c r="C78" s="170"/>
      <c r="D78" s="170"/>
      <c r="E78" s="170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71">
        <f t="shared" si="33"/>
        <v>0</v>
      </c>
      <c r="AB78" s="172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  <c r="CP78" s="118"/>
      <c r="CQ78" s="118"/>
      <c r="CR78" s="118"/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  <c r="DE78" s="118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18"/>
      <c r="EA78" s="118"/>
      <c r="EB78" s="118"/>
      <c r="EC78" s="118"/>
      <c r="ED78" s="118"/>
      <c r="EE78" s="118"/>
      <c r="EF78" s="118"/>
      <c r="EG78" s="118"/>
      <c r="EH78" s="118"/>
      <c r="EI78" s="118"/>
      <c r="EJ78" s="118"/>
      <c r="EK78" s="118"/>
      <c r="EL78" s="118"/>
      <c r="EM78" s="118"/>
      <c r="EN78" s="118"/>
      <c r="EO78" s="118"/>
      <c r="EP78" s="118"/>
      <c r="EQ78" s="118"/>
      <c r="ER78" s="118"/>
      <c r="ES78" s="118"/>
      <c r="ET78" s="118"/>
      <c r="EU78" s="118"/>
      <c r="EV78" s="118"/>
      <c r="EW78" s="118"/>
      <c r="EX78" s="118"/>
      <c r="EY78" s="118"/>
      <c r="EZ78" s="118"/>
      <c r="FA78" s="118"/>
      <c r="FB78" s="118"/>
      <c r="FC78" s="118"/>
      <c r="FD78" s="118"/>
      <c r="FE78" s="118"/>
      <c r="FF78" s="118"/>
      <c r="FG78" s="118"/>
      <c r="FH78" s="118"/>
      <c r="FI78" s="118"/>
      <c r="FJ78" s="118"/>
      <c r="FK78" s="118"/>
      <c r="FL78" s="118"/>
      <c r="FM78" s="118"/>
      <c r="FN78" s="118"/>
    </row>
    <row r="79" spans="1:170" s="112" customFormat="1" ht="12.95" hidden="1" customHeight="1" x14ac:dyDescent="0.25">
      <c r="A79" s="177" t="s">
        <v>569</v>
      </c>
      <c r="B79" s="178" t="s">
        <v>570</v>
      </c>
      <c r="C79" s="179"/>
      <c r="D79" s="179"/>
      <c r="E79" s="179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71">
        <f t="shared" si="33"/>
        <v>0</v>
      </c>
      <c r="AB79" s="172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8"/>
      <c r="DC79" s="118"/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18"/>
      <c r="EA79" s="118"/>
      <c r="EB79" s="118"/>
      <c r="EC79" s="118"/>
      <c r="ED79" s="118"/>
      <c r="EE79" s="118"/>
      <c r="EF79" s="118"/>
      <c r="EG79" s="118"/>
      <c r="EH79" s="118"/>
      <c r="EI79" s="118"/>
      <c r="EJ79" s="118"/>
      <c r="EK79" s="118"/>
      <c r="EL79" s="118"/>
      <c r="EM79" s="118"/>
      <c r="EN79" s="118"/>
      <c r="EO79" s="118"/>
      <c r="EP79" s="118"/>
      <c r="EQ79" s="118"/>
      <c r="ER79" s="118"/>
      <c r="ES79" s="118"/>
      <c r="ET79" s="118"/>
      <c r="EU79" s="118"/>
      <c r="EV79" s="118"/>
      <c r="EW79" s="118"/>
      <c r="EX79" s="118"/>
      <c r="EY79" s="118"/>
      <c r="EZ79" s="118"/>
      <c r="FA79" s="118"/>
      <c r="FB79" s="118"/>
      <c r="FC79" s="118"/>
      <c r="FD79" s="118"/>
      <c r="FE79" s="118"/>
      <c r="FF79" s="118"/>
      <c r="FG79" s="118"/>
      <c r="FH79" s="118"/>
      <c r="FI79" s="118"/>
      <c r="FJ79" s="118"/>
      <c r="FK79" s="118"/>
      <c r="FL79" s="118"/>
      <c r="FM79" s="118"/>
      <c r="FN79" s="118"/>
    </row>
    <row r="80" spans="1:170" s="112" customFormat="1" ht="12.95" hidden="1" customHeight="1" x14ac:dyDescent="0.25">
      <c r="A80" s="164" t="s">
        <v>571</v>
      </c>
      <c r="B80" s="169" t="s">
        <v>572</v>
      </c>
      <c r="C80" s="170"/>
      <c r="D80" s="170"/>
      <c r="E80" s="170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71">
        <f t="shared" si="33"/>
        <v>0</v>
      </c>
      <c r="AB80" s="172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8"/>
      <c r="CT80" s="118"/>
      <c r="CU80" s="118"/>
      <c r="CV80" s="118"/>
      <c r="CW80" s="118"/>
      <c r="CX80" s="118"/>
      <c r="CY80" s="118"/>
      <c r="CZ80" s="118"/>
      <c r="DA80" s="118"/>
      <c r="DB80" s="118"/>
      <c r="DC80" s="118"/>
      <c r="DD80" s="118"/>
      <c r="DE80" s="118"/>
      <c r="DF80" s="118"/>
      <c r="DG80" s="118"/>
      <c r="DH80" s="118"/>
      <c r="DI80" s="118"/>
      <c r="DJ80" s="118"/>
      <c r="DK80" s="118"/>
      <c r="DL80" s="118"/>
      <c r="DM80" s="118"/>
      <c r="DN80" s="118"/>
      <c r="DO80" s="118"/>
      <c r="DP80" s="118"/>
      <c r="DQ80" s="118"/>
      <c r="DR80" s="118"/>
      <c r="DS80" s="118"/>
      <c r="DT80" s="118"/>
      <c r="DU80" s="118"/>
      <c r="DV80" s="118"/>
      <c r="DW80" s="118"/>
      <c r="DX80" s="118"/>
      <c r="DY80" s="118"/>
      <c r="DZ80" s="118"/>
      <c r="EA80" s="118"/>
      <c r="EB80" s="118"/>
      <c r="EC80" s="118"/>
      <c r="ED80" s="118"/>
      <c r="EE80" s="118"/>
      <c r="EF80" s="118"/>
      <c r="EG80" s="118"/>
      <c r="EH80" s="118"/>
      <c r="EI80" s="118"/>
      <c r="EJ80" s="118"/>
      <c r="EK80" s="118"/>
      <c r="EL80" s="118"/>
      <c r="EM80" s="118"/>
      <c r="EN80" s="118"/>
      <c r="EO80" s="118"/>
      <c r="EP80" s="118"/>
      <c r="EQ80" s="118"/>
      <c r="ER80" s="118"/>
      <c r="ES80" s="118"/>
      <c r="ET80" s="118"/>
      <c r="EU80" s="118"/>
      <c r="EV80" s="118"/>
      <c r="EW80" s="118"/>
      <c r="EX80" s="118"/>
      <c r="EY80" s="118"/>
      <c r="EZ80" s="118"/>
      <c r="FA80" s="118"/>
      <c r="FB80" s="118"/>
      <c r="FC80" s="118"/>
      <c r="FD80" s="118"/>
      <c r="FE80" s="118"/>
      <c r="FF80" s="118"/>
      <c r="FG80" s="118"/>
      <c r="FH80" s="118"/>
      <c r="FI80" s="118"/>
      <c r="FJ80" s="118"/>
      <c r="FK80" s="118"/>
      <c r="FL80" s="118"/>
      <c r="FM80" s="118"/>
      <c r="FN80" s="118"/>
    </row>
    <row r="81" spans="1:170" s="112" customFormat="1" ht="12.95" hidden="1" customHeight="1" x14ac:dyDescent="0.25">
      <c r="A81" s="164" t="s">
        <v>573</v>
      </c>
      <c r="B81" s="169" t="s">
        <v>574</v>
      </c>
      <c r="C81" s="170"/>
      <c r="D81" s="170"/>
      <c r="E81" s="170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71">
        <f t="shared" si="33"/>
        <v>0</v>
      </c>
      <c r="AB81" s="172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18"/>
      <c r="BW81" s="118"/>
      <c r="BX81" s="118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  <c r="CO81" s="118"/>
      <c r="CP81" s="118"/>
      <c r="CQ81" s="118"/>
      <c r="CR81" s="118"/>
      <c r="CS81" s="118"/>
      <c r="CT81" s="118"/>
      <c r="CU81" s="118"/>
      <c r="CV81" s="118"/>
      <c r="CW81" s="118"/>
      <c r="CX81" s="118"/>
      <c r="CY81" s="118"/>
      <c r="CZ81" s="118"/>
      <c r="DA81" s="118"/>
      <c r="DB81" s="118"/>
      <c r="DC81" s="118"/>
      <c r="DD81" s="118"/>
      <c r="DE81" s="118"/>
      <c r="DF81" s="118"/>
      <c r="DG81" s="118"/>
      <c r="DH81" s="118"/>
      <c r="DI81" s="118"/>
      <c r="DJ81" s="118"/>
      <c r="DK81" s="118"/>
      <c r="DL81" s="118"/>
      <c r="DM81" s="118"/>
      <c r="DN81" s="118"/>
      <c r="DO81" s="118"/>
      <c r="DP81" s="118"/>
      <c r="DQ81" s="118"/>
      <c r="DR81" s="118"/>
      <c r="DS81" s="118"/>
      <c r="DT81" s="118"/>
      <c r="DU81" s="118"/>
      <c r="DV81" s="118"/>
      <c r="DW81" s="118"/>
      <c r="DX81" s="118"/>
      <c r="DY81" s="118"/>
      <c r="DZ81" s="118"/>
      <c r="EA81" s="118"/>
      <c r="EB81" s="118"/>
      <c r="EC81" s="118"/>
      <c r="ED81" s="118"/>
      <c r="EE81" s="118"/>
      <c r="EF81" s="118"/>
      <c r="EG81" s="118"/>
      <c r="EH81" s="118"/>
      <c r="EI81" s="118"/>
      <c r="EJ81" s="118"/>
      <c r="EK81" s="118"/>
      <c r="EL81" s="118"/>
      <c r="EM81" s="118"/>
      <c r="EN81" s="118"/>
      <c r="EO81" s="118"/>
      <c r="EP81" s="118"/>
      <c r="EQ81" s="118"/>
      <c r="ER81" s="118"/>
      <c r="ES81" s="118"/>
      <c r="ET81" s="118"/>
      <c r="EU81" s="118"/>
      <c r="EV81" s="118"/>
      <c r="EW81" s="118"/>
      <c r="EX81" s="118"/>
      <c r="EY81" s="118"/>
      <c r="EZ81" s="118"/>
      <c r="FA81" s="118"/>
      <c r="FB81" s="118"/>
      <c r="FC81" s="118"/>
      <c r="FD81" s="118"/>
      <c r="FE81" s="118"/>
      <c r="FF81" s="118"/>
      <c r="FG81" s="118"/>
      <c r="FH81" s="118"/>
      <c r="FI81" s="118"/>
      <c r="FJ81" s="118"/>
      <c r="FK81" s="118"/>
      <c r="FL81" s="118"/>
      <c r="FM81" s="118"/>
      <c r="FN81" s="118"/>
    </row>
    <row r="82" spans="1:170" s="133" customFormat="1" ht="14.25" customHeight="1" x14ac:dyDescent="0.2">
      <c r="A82" s="158" t="s">
        <v>575</v>
      </c>
      <c r="B82" s="158" t="s">
        <v>576</v>
      </c>
      <c r="C82" s="159">
        <f t="shared" ref="C82:Q82" si="34">C87</f>
        <v>0</v>
      </c>
      <c r="D82" s="159">
        <f t="shared" si="34"/>
        <v>0</v>
      </c>
      <c r="E82" s="159">
        <f t="shared" si="34"/>
        <v>500000</v>
      </c>
      <c r="F82" s="159">
        <f t="shared" si="34"/>
        <v>0</v>
      </c>
      <c r="G82" s="159">
        <f t="shared" si="34"/>
        <v>0</v>
      </c>
      <c r="H82" s="159">
        <f t="shared" si="34"/>
        <v>0</v>
      </c>
      <c r="I82" s="159">
        <f>+I87</f>
        <v>0</v>
      </c>
      <c r="J82" s="159">
        <f>+J87</f>
        <v>0</v>
      </c>
      <c r="K82" s="159">
        <f>+K87</f>
        <v>0</v>
      </c>
      <c r="L82" s="159">
        <f>+L87</f>
        <v>0</v>
      </c>
      <c r="M82" s="159">
        <f>+M87</f>
        <v>0</v>
      </c>
      <c r="N82" s="159">
        <f t="shared" si="34"/>
        <v>0</v>
      </c>
      <c r="O82" s="159">
        <f t="shared" si="34"/>
        <v>0</v>
      </c>
      <c r="P82" s="159">
        <f>+P87</f>
        <v>0</v>
      </c>
      <c r="Q82" s="159">
        <f t="shared" si="34"/>
        <v>0</v>
      </c>
      <c r="R82" s="159">
        <f>+R87</f>
        <v>0</v>
      </c>
      <c r="S82" s="159">
        <f t="shared" ref="S82:T82" si="35">+S87</f>
        <v>0</v>
      </c>
      <c r="T82" s="159">
        <f t="shared" si="35"/>
        <v>0</v>
      </c>
      <c r="U82" s="159">
        <f>+U87</f>
        <v>0</v>
      </c>
      <c r="V82" s="159">
        <f t="shared" ref="V82:X82" si="36">+V87</f>
        <v>0</v>
      </c>
      <c r="W82" s="159">
        <f t="shared" si="36"/>
        <v>0</v>
      </c>
      <c r="X82" s="159">
        <f t="shared" si="36"/>
        <v>0</v>
      </c>
      <c r="Y82" s="159">
        <f>+Y87</f>
        <v>0</v>
      </c>
      <c r="Z82" s="159">
        <f>+Z87</f>
        <v>0</v>
      </c>
      <c r="AA82" s="159">
        <f t="shared" si="33"/>
        <v>500000</v>
      </c>
      <c r="AB82" s="131">
        <f>AA82/$AA$9</f>
        <v>1.0972006621377778E-3</v>
      </c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112"/>
      <c r="CC82" s="112"/>
      <c r="CD82" s="112"/>
      <c r="CE82" s="112"/>
      <c r="CF82" s="112"/>
      <c r="CG82" s="112"/>
      <c r="CH82" s="112"/>
      <c r="CI82" s="112"/>
      <c r="CJ82" s="112"/>
      <c r="CK82" s="112"/>
      <c r="CL82" s="112"/>
      <c r="CM82" s="112"/>
      <c r="CN82" s="112"/>
      <c r="CO82" s="112"/>
      <c r="CP82" s="112"/>
      <c r="CQ82" s="112"/>
      <c r="CR82" s="112"/>
      <c r="CS82" s="112"/>
      <c r="CT82" s="112"/>
      <c r="CU82" s="112"/>
      <c r="CV82" s="112"/>
      <c r="CW82" s="112"/>
      <c r="CX82" s="112"/>
      <c r="CY82" s="112"/>
      <c r="CZ82" s="112"/>
      <c r="DA82" s="112"/>
      <c r="DB82" s="112"/>
      <c r="DC82" s="112"/>
      <c r="DD82" s="112"/>
      <c r="DE82" s="112"/>
      <c r="DF82" s="112"/>
      <c r="DG82" s="112"/>
      <c r="DH82" s="112"/>
      <c r="DI82" s="112"/>
      <c r="DJ82" s="112"/>
      <c r="DK82" s="112"/>
      <c r="DL82" s="112"/>
      <c r="DM82" s="112"/>
      <c r="DN82" s="112"/>
      <c r="DO82" s="112"/>
      <c r="DP82" s="112"/>
      <c r="DQ82" s="112"/>
      <c r="DR82" s="112"/>
      <c r="DS82" s="112"/>
      <c r="DT82" s="112"/>
      <c r="DU82" s="112"/>
      <c r="DV82" s="112"/>
      <c r="DW82" s="112"/>
      <c r="DX82" s="112"/>
      <c r="DY82" s="112"/>
      <c r="DZ82" s="112"/>
      <c r="EA82" s="112"/>
      <c r="EB82" s="112"/>
      <c r="EC82" s="112"/>
      <c r="ED82" s="112"/>
      <c r="EE82" s="112"/>
      <c r="EF82" s="112"/>
      <c r="EG82" s="112"/>
      <c r="EH82" s="112"/>
      <c r="EI82" s="112"/>
      <c r="EJ82" s="112"/>
      <c r="EK82" s="112"/>
      <c r="EL82" s="112"/>
      <c r="EM82" s="112"/>
      <c r="EN82" s="112"/>
      <c r="EO82" s="112"/>
      <c r="EP82" s="112"/>
      <c r="EQ82" s="112"/>
      <c r="ER82" s="112"/>
      <c r="ES82" s="112"/>
      <c r="ET82" s="112"/>
      <c r="EU82" s="112"/>
      <c r="EV82" s="112"/>
      <c r="EW82" s="112"/>
      <c r="EX82" s="112"/>
      <c r="EY82" s="112"/>
      <c r="EZ82" s="112"/>
      <c r="FA82" s="112"/>
      <c r="FB82" s="112"/>
      <c r="FC82" s="112"/>
      <c r="FD82" s="112"/>
      <c r="FE82" s="112"/>
      <c r="FF82" s="112"/>
      <c r="FG82" s="112"/>
      <c r="FH82" s="112"/>
      <c r="FI82" s="112"/>
      <c r="FJ82" s="112"/>
      <c r="FK82" s="112"/>
      <c r="FL82" s="112"/>
      <c r="FM82" s="112"/>
      <c r="FN82" s="112"/>
    </row>
    <row r="83" spans="1:170" s="112" customFormat="1" ht="12.95" hidden="1" customHeight="1" x14ac:dyDescent="0.25">
      <c r="A83" s="177" t="s">
        <v>577</v>
      </c>
      <c r="B83" s="178" t="s">
        <v>578</v>
      </c>
      <c r="C83" s="179"/>
      <c r="D83" s="179"/>
      <c r="E83" s="179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71">
        <f t="shared" si="33"/>
        <v>0</v>
      </c>
      <c r="AB83" s="172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  <c r="CX83" s="118"/>
      <c r="CY83" s="118"/>
      <c r="CZ83" s="118"/>
      <c r="DA83" s="118"/>
      <c r="DB83" s="118"/>
      <c r="DC83" s="118"/>
      <c r="DD83" s="118"/>
      <c r="DE83" s="118"/>
      <c r="DF83" s="118"/>
      <c r="DG83" s="118"/>
      <c r="DH83" s="118"/>
      <c r="DI83" s="118"/>
      <c r="DJ83" s="118"/>
      <c r="DK83" s="118"/>
      <c r="DL83" s="118"/>
      <c r="DM83" s="118"/>
      <c r="DN83" s="118"/>
      <c r="DO83" s="118"/>
      <c r="DP83" s="118"/>
      <c r="DQ83" s="118"/>
      <c r="DR83" s="118"/>
      <c r="DS83" s="118"/>
      <c r="DT83" s="118"/>
      <c r="DU83" s="118"/>
      <c r="DV83" s="118"/>
      <c r="DW83" s="118"/>
      <c r="DX83" s="118"/>
      <c r="DY83" s="118"/>
      <c r="DZ83" s="118"/>
      <c r="EA83" s="118"/>
      <c r="EB83" s="118"/>
      <c r="EC83" s="118"/>
      <c r="ED83" s="118"/>
      <c r="EE83" s="118"/>
      <c r="EF83" s="118"/>
      <c r="EG83" s="118"/>
      <c r="EH83" s="118"/>
      <c r="EI83" s="118"/>
      <c r="EJ83" s="118"/>
      <c r="EK83" s="118"/>
      <c r="EL83" s="118"/>
      <c r="EM83" s="118"/>
      <c r="EN83" s="118"/>
      <c r="EO83" s="118"/>
      <c r="EP83" s="118"/>
      <c r="EQ83" s="118"/>
      <c r="ER83" s="118"/>
      <c r="ES83" s="118"/>
      <c r="ET83" s="118"/>
      <c r="EU83" s="118"/>
      <c r="EV83" s="118"/>
      <c r="EW83" s="118"/>
      <c r="EX83" s="118"/>
      <c r="EY83" s="118"/>
      <c r="EZ83" s="118"/>
      <c r="FA83" s="118"/>
      <c r="FB83" s="118"/>
      <c r="FC83" s="118"/>
      <c r="FD83" s="118"/>
      <c r="FE83" s="118"/>
      <c r="FF83" s="118"/>
      <c r="FG83" s="118"/>
      <c r="FH83" s="118"/>
      <c r="FI83" s="118"/>
      <c r="FJ83" s="118"/>
      <c r="FK83" s="118"/>
      <c r="FL83" s="118"/>
      <c r="FM83" s="118"/>
      <c r="FN83" s="118"/>
    </row>
    <row r="84" spans="1:170" s="112" customFormat="1" ht="12.95" hidden="1" customHeight="1" x14ac:dyDescent="0.25">
      <c r="A84" s="164" t="s">
        <v>579</v>
      </c>
      <c r="B84" s="169" t="s">
        <v>580</v>
      </c>
      <c r="C84" s="170"/>
      <c r="D84" s="170"/>
      <c r="E84" s="170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71">
        <f t="shared" si="33"/>
        <v>0</v>
      </c>
      <c r="AB84" s="172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18"/>
      <c r="CU84" s="118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18"/>
      <c r="ED84" s="118"/>
      <c r="EE84" s="118"/>
      <c r="EF84" s="118"/>
      <c r="EG84" s="118"/>
      <c r="EH84" s="118"/>
      <c r="EI84" s="118"/>
      <c r="EJ84" s="118"/>
      <c r="EK84" s="118"/>
      <c r="EL84" s="118"/>
      <c r="EM84" s="118"/>
      <c r="EN84" s="118"/>
      <c r="EO84" s="118"/>
      <c r="EP84" s="118"/>
      <c r="EQ84" s="118"/>
      <c r="ER84" s="118"/>
      <c r="ES84" s="118"/>
      <c r="ET84" s="118"/>
      <c r="EU84" s="118"/>
      <c r="EV84" s="118"/>
      <c r="EW84" s="118"/>
      <c r="EX84" s="118"/>
      <c r="EY84" s="118"/>
      <c r="EZ84" s="118"/>
      <c r="FA84" s="118"/>
      <c r="FB84" s="118"/>
      <c r="FC84" s="118"/>
      <c r="FD84" s="118"/>
      <c r="FE84" s="118"/>
      <c r="FF84" s="118"/>
      <c r="FG84" s="118"/>
      <c r="FH84" s="118"/>
      <c r="FI84" s="118"/>
      <c r="FJ84" s="118"/>
      <c r="FK84" s="118"/>
      <c r="FL84" s="118"/>
      <c r="FM84" s="118"/>
      <c r="FN84" s="118"/>
    </row>
    <row r="85" spans="1:170" s="112" customFormat="1" ht="12.95" hidden="1" customHeight="1" x14ac:dyDescent="0.25">
      <c r="A85" s="164" t="s">
        <v>581</v>
      </c>
      <c r="B85" s="169" t="s">
        <v>582</v>
      </c>
      <c r="C85" s="170"/>
      <c r="D85" s="170"/>
      <c r="E85" s="170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71">
        <f t="shared" si="33"/>
        <v>0</v>
      </c>
      <c r="AB85" s="172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18"/>
      <c r="ED85" s="118"/>
      <c r="EE85" s="118"/>
      <c r="EF85" s="118"/>
      <c r="EG85" s="118"/>
      <c r="EH85" s="118"/>
      <c r="EI85" s="118"/>
      <c r="EJ85" s="118"/>
      <c r="EK85" s="118"/>
      <c r="EL85" s="118"/>
      <c r="EM85" s="118"/>
      <c r="EN85" s="118"/>
      <c r="EO85" s="118"/>
      <c r="EP85" s="118"/>
      <c r="EQ85" s="118"/>
      <c r="ER85" s="118"/>
      <c r="ES85" s="118"/>
      <c r="ET85" s="118"/>
      <c r="EU85" s="118"/>
      <c r="EV85" s="118"/>
      <c r="EW85" s="118"/>
      <c r="EX85" s="118"/>
      <c r="EY85" s="118"/>
      <c r="EZ85" s="118"/>
      <c r="FA85" s="118"/>
      <c r="FB85" s="118"/>
      <c r="FC85" s="118"/>
      <c r="FD85" s="118"/>
      <c r="FE85" s="118"/>
      <c r="FF85" s="118"/>
      <c r="FG85" s="118"/>
      <c r="FH85" s="118"/>
      <c r="FI85" s="118"/>
      <c r="FJ85" s="118"/>
      <c r="FK85" s="118"/>
      <c r="FL85" s="118"/>
      <c r="FM85" s="118"/>
      <c r="FN85" s="118"/>
    </row>
    <row r="86" spans="1:170" s="112" customFormat="1" ht="12.95" hidden="1" customHeight="1" x14ac:dyDescent="0.25">
      <c r="A86" s="164" t="s">
        <v>583</v>
      </c>
      <c r="B86" s="169" t="s">
        <v>328</v>
      </c>
      <c r="C86" s="170"/>
      <c r="D86" s="170"/>
      <c r="E86" s="170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71">
        <f t="shared" si="33"/>
        <v>0</v>
      </c>
      <c r="AB86" s="172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18"/>
      <c r="ED86" s="118"/>
      <c r="EE86" s="118"/>
      <c r="EF86" s="118"/>
      <c r="EG86" s="118"/>
      <c r="EH86" s="118"/>
      <c r="EI86" s="118"/>
      <c r="EJ86" s="118"/>
      <c r="EK86" s="118"/>
      <c r="EL86" s="118"/>
      <c r="EM86" s="118"/>
      <c r="EN86" s="118"/>
      <c r="EO86" s="118"/>
      <c r="EP86" s="118"/>
      <c r="EQ86" s="118"/>
      <c r="ER86" s="118"/>
      <c r="ES86" s="118"/>
      <c r="ET86" s="118"/>
      <c r="EU86" s="118"/>
      <c r="EV86" s="118"/>
      <c r="EW86" s="118"/>
      <c r="EX86" s="118"/>
      <c r="EY86" s="118"/>
      <c r="EZ86" s="118"/>
      <c r="FA86" s="118"/>
      <c r="FB86" s="118"/>
      <c r="FC86" s="118"/>
      <c r="FD86" s="118"/>
      <c r="FE86" s="118"/>
      <c r="FF86" s="118"/>
      <c r="FG86" s="118"/>
      <c r="FH86" s="118"/>
      <c r="FI86" s="118"/>
      <c r="FJ86" s="118"/>
      <c r="FK86" s="118"/>
      <c r="FL86" s="118"/>
      <c r="FM86" s="118"/>
      <c r="FN86" s="118"/>
    </row>
    <row r="87" spans="1:170" s="112" customFormat="1" ht="14.25" customHeight="1" x14ac:dyDescent="0.25">
      <c r="A87" s="181" t="s">
        <v>584</v>
      </c>
      <c r="B87" s="182" t="s">
        <v>585</v>
      </c>
      <c r="C87" s="180">
        <f>C91</f>
        <v>0</v>
      </c>
      <c r="D87" s="180">
        <f>D91</f>
        <v>0</v>
      </c>
      <c r="E87" s="180">
        <f>E91</f>
        <v>500000</v>
      </c>
      <c r="F87" s="180">
        <f>F91</f>
        <v>0</v>
      </c>
      <c r="G87" s="180">
        <f>G88</f>
        <v>0</v>
      </c>
      <c r="H87" s="180">
        <f>H88</f>
        <v>0</v>
      </c>
      <c r="I87" s="180">
        <f>+I88</f>
        <v>0</v>
      </c>
      <c r="J87" s="180">
        <f>+J88</f>
        <v>0</v>
      </c>
      <c r="K87" s="180">
        <f>+K88</f>
        <v>0</v>
      </c>
      <c r="L87" s="180">
        <f>+L88</f>
        <v>0</v>
      </c>
      <c r="M87" s="180">
        <f>+M88</f>
        <v>0</v>
      </c>
      <c r="N87" s="180">
        <f>N88</f>
        <v>0</v>
      </c>
      <c r="O87" s="180">
        <f>O88</f>
        <v>0</v>
      </c>
      <c r="P87" s="180">
        <f>+P88</f>
        <v>0</v>
      </c>
      <c r="Q87" s="180">
        <f>Q88</f>
        <v>0</v>
      </c>
      <c r="R87" s="180">
        <f>+R88</f>
        <v>0</v>
      </c>
      <c r="S87" s="180">
        <f t="shared" ref="S87:T87" si="37">+S88</f>
        <v>0</v>
      </c>
      <c r="T87" s="180">
        <f t="shared" si="37"/>
        <v>0</v>
      </c>
      <c r="U87" s="180">
        <f>+U88</f>
        <v>0</v>
      </c>
      <c r="V87" s="180">
        <f t="shared" ref="V87:X87" si="38">+V88</f>
        <v>0</v>
      </c>
      <c r="W87" s="180">
        <f t="shared" si="38"/>
        <v>0</v>
      </c>
      <c r="X87" s="180">
        <f t="shared" si="38"/>
        <v>0</v>
      </c>
      <c r="Y87" s="180">
        <f>+Y88</f>
        <v>0</v>
      </c>
      <c r="Z87" s="180">
        <f>+Z88</f>
        <v>0</v>
      </c>
      <c r="AA87" s="180">
        <f t="shared" si="33"/>
        <v>500000</v>
      </c>
      <c r="AB87" s="156">
        <f>AA87/$AA$9</f>
        <v>1.0972006621377778E-3</v>
      </c>
    </row>
    <row r="88" spans="1:170" s="124" customFormat="1" ht="14.25" customHeight="1" x14ac:dyDescent="0.25">
      <c r="A88" s="183" t="s">
        <v>586</v>
      </c>
      <c r="B88" s="182" t="s">
        <v>580</v>
      </c>
      <c r="C88" s="183">
        <v>0</v>
      </c>
      <c r="D88" s="183">
        <v>0</v>
      </c>
      <c r="E88" s="183">
        <f>E91</f>
        <v>500000</v>
      </c>
      <c r="F88" s="183">
        <v>0</v>
      </c>
      <c r="G88" s="183">
        <f>G91</f>
        <v>0</v>
      </c>
      <c r="H88" s="183">
        <f>H91</f>
        <v>0</v>
      </c>
      <c r="I88" s="183">
        <f>+I91</f>
        <v>0</v>
      </c>
      <c r="J88" s="183">
        <v>0</v>
      </c>
      <c r="K88" s="183">
        <f>+K91</f>
        <v>0</v>
      </c>
      <c r="L88" s="183">
        <f>+L91</f>
        <v>0</v>
      </c>
      <c r="M88" s="183">
        <f>+M91</f>
        <v>0</v>
      </c>
      <c r="N88" s="183">
        <f>N91</f>
        <v>0</v>
      </c>
      <c r="O88" s="183">
        <f>O91</f>
        <v>0</v>
      </c>
      <c r="P88" s="183">
        <f>+P91</f>
        <v>0</v>
      </c>
      <c r="Q88" s="183">
        <f>Q91</f>
        <v>0</v>
      </c>
      <c r="R88" s="183">
        <f>+R91</f>
        <v>0</v>
      </c>
      <c r="S88" s="183">
        <f t="shared" ref="S88:T88" si="39">+S91</f>
        <v>0</v>
      </c>
      <c r="T88" s="183">
        <f t="shared" si="39"/>
        <v>0</v>
      </c>
      <c r="U88" s="183">
        <f>+U91</f>
        <v>0</v>
      </c>
      <c r="V88" s="183">
        <f t="shared" ref="V88:X88" si="40">+V91</f>
        <v>0</v>
      </c>
      <c r="W88" s="183">
        <f t="shared" si="40"/>
        <v>0</v>
      </c>
      <c r="X88" s="183">
        <f t="shared" si="40"/>
        <v>0</v>
      </c>
      <c r="Y88" s="183">
        <f>+Y91</f>
        <v>0</v>
      </c>
      <c r="Z88" s="183">
        <f>+Z91</f>
        <v>0</v>
      </c>
      <c r="AA88" s="183">
        <f t="shared" si="33"/>
        <v>500000</v>
      </c>
      <c r="AB88" s="156">
        <f>AA88/$AA$9</f>
        <v>1.0972006621377778E-3</v>
      </c>
    </row>
    <row r="89" spans="1:170" s="112" customFormat="1" ht="12.95" hidden="1" customHeight="1" x14ac:dyDescent="0.25">
      <c r="A89" s="164" t="s">
        <v>587</v>
      </c>
      <c r="B89" s="169" t="s">
        <v>588</v>
      </c>
      <c r="C89" s="170"/>
      <c r="D89" s="170"/>
      <c r="E89" s="170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71">
        <f t="shared" si="33"/>
        <v>0</v>
      </c>
      <c r="AB89" s="172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18"/>
      <c r="ED89" s="118"/>
      <c r="EE89" s="118"/>
      <c r="EF89" s="118"/>
      <c r="EG89" s="118"/>
      <c r="EH89" s="118"/>
      <c r="EI89" s="118"/>
      <c r="EJ89" s="118"/>
      <c r="EK89" s="118"/>
      <c r="EL89" s="118"/>
      <c r="EM89" s="118"/>
      <c r="EN89" s="118"/>
      <c r="EO89" s="118"/>
      <c r="EP89" s="118"/>
      <c r="EQ89" s="118"/>
      <c r="ER89" s="118"/>
      <c r="ES89" s="118"/>
      <c r="ET89" s="118"/>
      <c r="EU89" s="118"/>
      <c r="EV89" s="118"/>
      <c r="EW89" s="118"/>
      <c r="EX89" s="118"/>
      <c r="EY89" s="118"/>
      <c r="EZ89" s="118"/>
      <c r="FA89" s="118"/>
      <c r="FB89" s="118"/>
      <c r="FC89" s="118"/>
      <c r="FD89" s="118"/>
      <c r="FE89" s="118"/>
      <c r="FF89" s="118"/>
      <c r="FG89" s="118"/>
      <c r="FH89" s="118"/>
      <c r="FI89" s="118"/>
      <c r="FJ89" s="118"/>
      <c r="FK89" s="118"/>
      <c r="FL89" s="118"/>
      <c r="FM89" s="118"/>
      <c r="FN89" s="118"/>
    </row>
    <row r="90" spans="1:170" s="112" customFormat="1" ht="12.95" hidden="1" customHeight="1" x14ac:dyDescent="0.25">
      <c r="A90" s="164" t="s">
        <v>589</v>
      </c>
      <c r="B90" s="169" t="s">
        <v>590</v>
      </c>
      <c r="C90" s="170"/>
      <c r="D90" s="170"/>
      <c r="E90" s="170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71">
        <f t="shared" si="33"/>
        <v>0</v>
      </c>
      <c r="AB90" s="172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18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18"/>
      <c r="EA90" s="118"/>
      <c r="EB90" s="118"/>
      <c r="EC90" s="118"/>
      <c r="ED90" s="118"/>
      <c r="EE90" s="118"/>
      <c r="EF90" s="118"/>
      <c r="EG90" s="118"/>
      <c r="EH90" s="118"/>
      <c r="EI90" s="118"/>
      <c r="EJ90" s="118"/>
      <c r="EK90" s="118"/>
      <c r="EL90" s="118"/>
      <c r="EM90" s="118"/>
      <c r="EN90" s="118"/>
      <c r="EO90" s="118"/>
      <c r="EP90" s="118"/>
      <c r="EQ90" s="118"/>
      <c r="ER90" s="118"/>
      <c r="ES90" s="118"/>
      <c r="ET90" s="118"/>
      <c r="EU90" s="118"/>
      <c r="EV90" s="118"/>
      <c r="EW90" s="118"/>
      <c r="EX90" s="118"/>
      <c r="EY90" s="118"/>
      <c r="EZ90" s="118"/>
      <c r="FA90" s="118"/>
      <c r="FB90" s="118"/>
      <c r="FC90" s="118"/>
      <c r="FD90" s="118"/>
      <c r="FE90" s="118"/>
      <c r="FF90" s="118"/>
      <c r="FG90" s="118"/>
      <c r="FH90" s="118"/>
      <c r="FI90" s="118"/>
      <c r="FJ90" s="118"/>
      <c r="FK90" s="118"/>
      <c r="FL90" s="118"/>
      <c r="FM90" s="118"/>
      <c r="FN90" s="118"/>
    </row>
    <row r="91" spans="1:170" s="112" customFormat="1" ht="13.5" customHeight="1" x14ac:dyDescent="0.25">
      <c r="A91" s="164" t="s">
        <v>591</v>
      </c>
      <c r="B91" s="184" t="s">
        <v>592</v>
      </c>
      <c r="C91" s="144">
        <v>0</v>
      </c>
      <c r="D91" s="144">
        <v>0</v>
      </c>
      <c r="E91" s="144">
        <v>500000</v>
      </c>
      <c r="F91" s="144">
        <v>0</v>
      </c>
      <c r="G91" s="144">
        <v>0</v>
      </c>
      <c r="H91" s="144">
        <v>0</v>
      </c>
      <c r="I91" s="144">
        <v>0</v>
      </c>
      <c r="J91" s="144">
        <v>0</v>
      </c>
      <c r="K91" s="144">
        <v>0</v>
      </c>
      <c r="L91" s="144">
        <v>0</v>
      </c>
      <c r="M91" s="144">
        <v>0</v>
      </c>
      <c r="N91" s="144">
        <v>0</v>
      </c>
      <c r="O91" s="144">
        <v>0</v>
      </c>
      <c r="P91" s="144">
        <v>0</v>
      </c>
      <c r="Q91" s="144">
        <v>0</v>
      </c>
      <c r="R91" s="144">
        <v>0</v>
      </c>
      <c r="S91" s="144">
        <v>0</v>
      </c>
      <c r="T91" s="144">
        <v>0</v>
      </c>
      <c r="U91" s="144">
        <v>0</v>
      </c>
      <c r="V91" s="144">
        <v>0</v>
      </c>
      <c r="W91" s="144">
        <v>0</v>
      </c>
      <c r="X91" s="144"/>
      <c r="Y91" s="144">
        <v>0</v>
      </c>
      <c r="Z91" s="144">
        <v>0</v>
      </c>
      <c r="AA91" s="174">
        <f t="shared" si="33"/>
        <v>500000</v>
      </c>
      <c r="AB91" s="146">
        <f>AA91/$AA$9</f>
        <v>1.0972006621377778E-3</v>
      </c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8"/>
      <c r="BX91" s="118"/>
      <c r="BY91" s="118"/>
      <c r="BZ91" s="118"/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  <c r="CN91" s="118"/>
      <c r="CO91" s="118"/>
      <c r="CP91" s="118"/>
      <c r="CQ91" s="118"/>
      <c r="CR91" s="118"/>
      <c r="CS91" s="118"/>
      <c r="CT91" s="118"/>
      <c r="CU91" s="118"/>
      <c r="CV91" s="118"/>
      <c r="CW91" s="118"/>
      <c r="CX91" s="118"/>
      <c r="CY91" s="118"/>
      <c r="CZ91" s="118"/>
      <c r="DA91" s="118"/>
      <c r="DB91" s="118"/>
      <c r="DC91" s="118"/>
      <c r="DD91" s="118"/>
      <c r="DE91" s="118"/>
      <c r="DF91" s="118"/>
      <c r="DG91" s="118"/>
      <c r="DH91" s="118"/>
      <c r="DI91" s="118"/>
      <c r="DJ91" s="118"/>
      <c r="DK91" s="118"/>
      <c r="DL91" s="118"/>
      <c r="DM91" s="118"/>
      <c r="DN91" s="118"/>
      <c r="DO91" s="118"/>
      <c r="DP91" s="118"/>
      <c r="DQ91" s="118"/>
      <c r="DR91" s="118"/>
      <c r="DS91" s="118"/>
      <c r="DT91" s="118"/>
      <c r="DU91" s="118"/>
      <c r="DV91" s="118"/>
      <c r="DW91" s="118"/>
      <c r="DX91" s="118"/>
      <c r="DY91" s="118"/>
      <c r="DZ91" s="118"/>
      <c r="EA91" s="118"/>
      <c r="EB91" s="118"/>
      <c r="EC91" s="118"/>
      <c r="ED91" s="118"/>
      <c r="EE91" s="118"/>
      <c r="EF91" s="118"/>
      <c r="EG91" s="118"/>
      <c r="EH91" s="118"/>
      <c r="EI91" s="118"/>
      <c r="EJ91" s="118"/>
      <c r="EK91" s="118"/>
      <c r="EL91" s="118"/>
      <c r="EM91" s="118"/>
      <c r="EN91" s="118"/>
      <c r="EO91" s="118"/>
      <c r="EP91" s="118"/>
      <c r="EQ91" s="118"/>
      <c r="ER91" s="118"/>
      <c r="ES91" s="118"/>
      <c r="ET91" s="118"/>
      <c r="EU91" s="118"/>
      <c r="EV91" s="118"/>
      <c r="EW91" s="118"/>
      <c r="EX91" s="118"/>
      <c r="EY91" s="118"/>
      <c r="EZ91" s="118"/>
      <c r="FA91" s="118"/>
      <c r="FB91" s="118"/>
      <c r="FC91" s="118"/>
      <c r="FD91" s="118"/>
      <c r="FE91" s="118"/>
      <c r="FF91" s="118"/>
      <c r="FG91" s="118"/>
      <c r="FH91" s="118"/>
      <c r="FI91" s="118"/>
      <c r="FJ91" s="118"/>
      <c r="FK91" s="118"/>
      <c r="FL91" s="118"/>
      <c r="FM91" s="118"/>
      <c r="FN91" s="118"/>
    </row>
    <row r="92" spans="1:170" s="133" customFormat="1" ht="14.25" customHeight="1" x14ac:dyDescent="0.2">
      <c r="A92" s="158" t="s">
        <v>593</v>
      </c>
      <c r="B92" s="158" t="s">
        <v>594</v>
      </c>
      <c r="C92" s="159">
        <f>C93+C98</f>
        <v>0</v>
      </c>
      <c r="D92" s="159">
        <f>D93</f>
        <v>0</v>
      </c>
      <c r="E92" s="159">
        <f>E93+E98</f>
        <v>0</v>
      </c>
      <c r="F92" s="159">
        <f>F98+F93</f>
        <v>0</v>
      </c>
      <c r="G92" s="159">
        <f t="shared" ref="G92:Z92" si="41">G93+G98</f>
        <v>0</v>
      </c>
      <c r="H92" s="159">
        <f t="shared" si="41"/>
        <v>0</v>
      </c>
      <c r="I92" s="159">
        <f>+I93+I95+I96+I97+I98+I99+I100</f>
        <v>0</v>
      </c>
      <c r="J92" s="159">
        <f>+J93+J95+J96+J97+J98+J99+J100</f>
        <v>0</v>
      </c>
      <c r="K92" s="159">
        <f>+K93+K95+K96+K97+K98+K99+K100</f>
        <v>0</v>
      </c>
      <c r="L92" s="159">
        <f>+L93+L95+L96+L97+L98+L99+L100</f>
        <v>0</v>
      </c>
      <c r="M92" s="159">
        <f>+M93+M98</f>
        <v>0</v>
      </c>
      <c r="N92" s="159">
        <f t="shared" si="41"/>
        <v>2800000</v>
      </c>
      <c r="O92" s="159">
        <f t="shared" si="41"/>
        <v>12825900</v>
      </c>
      <c r="P92" s="159">
        <v>0</v>
      </c>
      <c r="Q92" s="159">
        <f t="shared" si="41"/>
        <v>0</v>
      </c>
      <c r="R92" s="159">
        <v>0</v>
      </c>
      <c r="S92" s="159">
        <v>0</v>
      </c>
      <c r="T92" s="159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f t="shared" si="41"/>
        <v>0</v>
      </c>
      <c r="Z92" s="159">
        <f t="shared" si="41"/>
        <v>0</v>
      </c>
      <c r="AA92" s="159">
        <f t="shared" si="33"/>
        <v>15625900</v>
      </c>
      <c r="AB92" s="131">
        <f>AA92/$AA$9</f>
        <v>3.4289495652997402E-2</v>
      </c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  <c r="CC92" s="112"/>
      <c r="CD92" s="112"/>
      <c r="CE92" s="112"/>
      <c r="CF92" s="112"/>
      <c r="CG92" s="112"/>
      <c r="CH92" s="112"/>
      <c r="CI92" s="112"/>
      <c r="CJ92" s="112"/>
      <c r="CK92" s="112"/>
      <c r="CL92" s="112"/>
      <c r="CM92" s="112"/>
      <c r="CN92" s="112"/>
      <c r="CO92" s="112"/>
      <c r="CP92" s="112"/>
      <c r="CQ92" s="112"/>
      <c r="CR92" s="112"/>
      <c r="CS92" s="112"/>
      <c r="CT92" s="112"/>
      <c r="CU92" s="112"/>
      <c r="CV92" s="112"/>
      <c r="CW92" s="112"/>
      <c r="CX92" s="112"/>
      <c r="CY92" s="112"/>
      <c r="CZ92" s="112"/>
      <c r="DA92" s="112"/>
      <c r="DB92" s="112"/>
      <c r="DC92" s="112"/>
      <c r="DD92" s="112"/>
      <c r="DE92" s="112"/>
      <c r="DF92" s="112"/>
      <c r="DG92" s="112"/>
      <c r="DH92" s="112"/>
      <c r="DI92" s="112"/>
      <c r="DJ92" s="112"/>
      <c r="DK92" s="112"/>
      <c r="DL92" s="112"/>
      <c r="DM92" s="112"/>
      <c r="DN92" s="112"/>
      <c r="DO92" s="112"/>
      <c r="DP92" s="112"/>
      <c r="DQ92" s="112"/>
      <c r="DR92" s="112"/>
      <c r="DS92" s="112"/>
      <c r="DT92" s="112"/>
      <c r="DU92" s="112"/>
      <c r="DV92" s="112"/>
      <c r="DW92" s="112"/>
      <c r="DX92" s="112"/>
      <c r="DY92" s="112"/>
      <c r="DZ92" s="112"/>
      <c r="EA92" s="112"/>
      <c r="EB92" s="112"/>
      <c r="EC92" s="112"/>
      <c r="ED92" s="112"/>
      <c r="EE92" s="112"/>
      <c r="EF92" s="112"/>
      <c r="EG92" s="112"/>
      <c r="EH92" s="112"/>
      <c r="EI92" s="112"/>
      <c r="EJ92" s="112"/>
      <c r="EK92" s="112"/>
      <c r="EL92" s="112"/>
      <c r="EM92" s="112"/>
      <c r="EN92" s="112"/>
      <c r="EO92" s="112"/>
      <c r="EP92" s="112"/>
      <c r="EQ92" s="112"/>
      <c r="ER92" s="112"/>
      <c r="ES92" s="112"/>
      <c r="ET92" s="112"/>
      <c r="EU92" s="112"/>
      <c r="EV92" s="112"/>
      <c r="EW92" s="112"/>
      <c r="EX92" s="112"/>
      <c r="EY92" s="112"/>
      <c r="EZ92" s="112"/>
      <c r="FA92" s="112"/>
      <c r="FB92" s="112"/>
      <c r="FC92" s="112"/>
      <c r="FD92" s="112"/>
      <c r="FE92" s="112"/>
      <c r="FF92" s="112"/>
      <c r="FG92" s="112"/>
      <c r="FH92" s="112"/>
      <c r="FI92" s="112"/>
      <c r="FJ92" s="112"/>
      <c r="FK92" s="112"/>
      <c r="FL92" s="112"/>
      <c r="FM92" s="112"/>
      <c r="FN92" s="112"/>
    </row>
    <row r="93" spans="1:170" s="124" customFormat="1" ht="15" customHeight="1" x14ac:dyDescent="0.25">
      <c r="A93" s="181" t="s">
        <v>595</v>
      </c>
      <c r="B93" s="183" t="s">
        <v>596</v>
      </c>
      <c r="C93" s="180">
        <f>SUM(C94:C97)</f>
        <v>0</v>
      </c>
      <c r="D93" s="180">
        <f>SUM(D94:D97)</f>
        <v>0</v>
      </c>
      <c r="E93" s="180">
        <f>SUM(E94:E97)</f>
        <v>0</v>
      </c>
      <c r="F93" s="180">
        <f t="shared" ref="F93:Z93" si="42">F95+F96+F97</f>
        <v>0</v>
      </c>
      <c r="G93" s="180">
        <f t="shared" si="42"/>
        <v>0</v>
      </c>
      <c r="H93" s="180">
        <f t="shared" si="42"/>
        <v>0</v>
      </c>
      <c r="I93" s="180">
        <v>0</v>
      </c>
      <c r="J93" s="180">
        <v>0</v>
      </c>
      <c r="K93" s="180">
        <v>0</v>
      </c>
      <c r="L93" s="180">
        <v>0</v>
      </c>
      <c r="M93" s="180">
        <f>+M95+M96+M97</f>
        <v>0</v>
      </c>
      <c r="N93" s="180">
        <f t="shared" si="42"/>
        <v>0</v>
      </c>
      <c r="O93" s="180">
        <f t="shared" si="42"/>
        <v>12825900</v>
      </c>
      <c r="P93" s="180">
        <v>0</v>
      </c>
      <c r="Q93" s="180">
        <f t="shared" si="42"/>
        <v>0</v>
      </c>
      <c r="R93" s="180">
        <v>0</v>
      </c>
      <c r="S93" s="180">
        <v>0</v>
      </c>
      <c r="T93" s="180">
        <v>0</v>
      </c>
      <c r="U93" s="180">
        <v>0</v>
      </c>
      <c r="V93" s="180">
        <v>0</v>
      </c>
      <c r="W93" s="180">
        <v>0</v>
      </c>
      <c r="X93" s="180">
        <v>0</v>
      </c>
      <c r="Y93" s="180">
        <f t="shared" si="42"/>
        <v>0</v>
      </c>
      <c r="Z93" s="180">
        <f t="shared" si="42"/>
        <v>0</v>
      </c>
      <c r="AA93" s="180">
        <f t="shared" si="33"/>
        <v>12825900</v>
      </c>
      <c r="AB93" s="156">
        <f>AA93/$AA$9</f>
        <v>2.8145171945025849E-2</v>
      </c>
    </row>
    <row r="94" spans="1:170" s="112" customFormat="1" ht="12.95" hidden="1" customHeight="1" x14ac:dyDescent="0.25">
      <c r="A94" s="166" t="s">
        <v>446</v>
      </c>
      <c r="B94" s="185" t="s">
        <v>597</v>
      </c>
      <c r="C94" s="165">
        <v>0</v>
      </c>
      <c r="D94" s="165">
        <v>0</v>
      </c>
      <c r="E94" s="165">
        <v>0</v>
      </c>
      <c r="F94" s="165">
        <v>0</v>
      </c>
      <c r="G94" s="165"/>
      <c r="H94" s="165"/>
      <c r="I94" s="165"/>
      <c r="J94" s="165"/>
      <c r="K94" s="165"/>
      <c r="L94" s="180">
        <v>0</v>
      </c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71">
        <f t="shared" si="33"/>
        <v>0</v>
      </c>
      <c r="AB94" s="172"/>
    </row>
    <row r="95" spans="1:170" s="112" customFormat="1" ht="12.95" customHeight="1" x14ac:dyDescent="0.25">
      <c r="A95" s="166" t="s">
        <v>598</v>
      </c>
      <c r="B95" s="173" t="s">
        <v>599</v>
      </c>
      <c r="C95" s="144">
        <v>0</v>
      </c>
      <c r="D95" s="144">
        <v>0</v>
      </c>
      <c r="E95" s="144">
        <v>0</v>
      </c>
      <c r="F95" s="144">
        <v>0</v>
      </c>
      <c r="G95" s="144">
        <v>0</v>
      </c>
      <c r="H95" s="144">
        <v>0</v>
      </c>
      <c r="I95" s="144">
        <v>0</v>
      </c>
      <c r="J95" s="144">
        <v>0</v>
      </c>
      <c r="K95" s="144">
        <v>0</v>
      </c>
      <c r="L95" s="144">
        <v>0</v>
      </c>
      <c r="M95" s="144">
        <v>0</v>
      </c>
      <c r="N95" s="144">
        <v>0</v>
      </c>
      <c r="O95" s="144">
        <v>12624600</v>
      </c>
      <c r="P95" s="144">
        <v>0</v>
      </c>
      <c r="Q95" s="144">
        <v>0</v>
      </c>
      <c r="R95" s="144">
        <v>0</v>
      </c>
      <c r="S95" s="144">
        <v>0</v>
      </c>
      <c r="T95" s="144">
        <v>0</v>
      </c>
      <c r="U95" s="144">
        <v>0</v>
      </c>
      <c r="V95" s="144">
        <v>0</v>
      </c>
      <c r="W95" s="144">
        <v>0</v>
      </c>
      <c r="X95" s="144"/>
      <c r="Y95" s="144">
        <v>0</v>
      </c>
      <c r="Z95" s="144">
        <v>0</v>
      </c>
      <c r="AA95" s="174">
        <f t="shared" si="33"/>
        <v>12624600</v>
      </c>
      <c r="AB95" s="146">
        <f t="shared" ref="AB95:AB107" si="43">AA95/$AA$9</f>
        <v>2.7703438958449182E-2</v>
      </c>
    </row>
    <row r="96" spans="1:170" s="112" customFormat="1" ht="16.5" customHeight="1" x14ac:dyDescent="0.25">
      <c r="A96" s="166" t="s">
        <v>600</v>
      </c>
      <c r="B96" s="173" t="s">
        <v>601</v>
      </c>
      <c r="C96" s="144">
        <v>0</v>
      </c>
      <c r="D96" s="144">
        <v>0</v>
      </c>
      <c r="E96" s="144">
        <v>0</v>
      </c>
      <c r="F96" s="144">
        <v>0</v>
      </c>
      <c r="G96" s="144">
        <v>0</v>
      </c>
      <c r="H96" s="144">
        <v>0</v>
      </c>
      <c r="I96" s="144">
        <v>0</v>
      </c>
      <c r="J96" s="144">
        <v>0</v>
      </c>
      <c r="K96" s="144">
        <v>0</v>
      </c>
      <c r="L96" s="144">
        <v>0</v>
      </c>
      <c r="M96" s="144">
        <v>0</v>
      </c>
      <c r="N96" s="144">
        <v>0</v>
      </c>
      <c r="O96" s="144">
        <v>201300</v>
      </c>
      <c r="P96" s="144">
        <v>0</v>
      </c>
      <c r="Q96" s="144">
        <v>0</v>
      </c>
      <c r="R96" s="144">
        <v>0</v>
      </c>
      <c r="S96" s="144">
        <v>0</v>
      </c>
      <c r="T96" s="144">
        <v>0</v>
      </c>
      <c r="U96" s="144">
        <v>0</v>
      </c>
      <c r="V96" s="144">
        <v>0</v>
      </c>
      <c r="W96" s="144">
        <v>0</v>
      </c>
      <c r="X96" s="144"/>
      <c r="Y96" s="144">
        <v>0</v>
      </c>
      <c r="Z96" s="144">
        <v>0</v>
      </c>
      <c r="AA96" s="174">
        <f t="shared" si="33"/>
        <v>201300</v>
      </c>
      <c r="AB96" s="146">
        <f t="shared" si="43"/>
        <v>4.4173298657666934E-4</v>
      </c>
    </row>
    <row r="97" spans="1:170" s="112" customFormat="1" ht="15" customHeight="1" x14ac:dyDescent="0.25">
      <c r="A97" s="166" t="s">
        <v>602</v>
      </c>
      <c r="B97" s="173" t="s">
        <v>603</v>
      </c>
      <c r="C97" s="144">
        <v>0</v>
      </c>
      <c r="D97" s="144">
        <v>0</v>
      </c>
      <c r="E97" s="144">
        <v>0</v>
      </c>
      <c r="F97" s="144"/>
      <c r="G97" s="144">
        <v>0</v>
      </c>
      <c r="H97" s="144">
        <v>0</v>
      </c>
      <c r="I97" s="144">
        <v>0</v>
      </c>
      <c r="J97" s="144">
        <v>0</v>
      </c>
      <c r="K97" s="144">
        <v>0</v>
      </c>
      <c r="L97" s="144">
        <v>0</v>
      </c>
      <c r="M97" s="144">
        <v>0</v>
      </c>
      <c r="N97" s="144">
        <v>0</v>
      </c>
      <c r="O97" s="144">
        <v>0</v>
      </c>
      <c r="P97" s="144">
        <v>0</v>
      </c>
      <c r="Q97" s="144">
        <v>0</v>
      </c>
      <c r="R97" s="144">
        <v>0</v>
      </c>
      <c r="S97" s="144">
        <v>0</v>
      </c>
      <c r="T97" s="144">
        <v>0</v>
      </c>
      <c r="U97" s="144">
        <v>0</v>
      </c>
      <c r="V97" s="144">
        <v>0</v>
      </c>
      <c r="W97" s="144">
        <v>0</v>
      </c>
      <c r="X97" s="144"/>
      <c r="Y97" s="144">
        <v>0</v>
      </c>
      <c r="Z97" s="144">
        <v>0</v>
      </c>
      <c r="AA97" s="174">
        <f t="shared" si="33"/>
        <v>0</v>
      </c>
      <c r="AB97" s="146">
        <f t="shared" si="43"/>
        <v>0</v>
      </c>
    </row>
    <row r="98" spans="1:170" s="124" customFormat="1" ht="12.95" customHeight="1" x14ac:dyDescent="0.25">
      <c r="A98" s="181" t="s">
        <v>604</v>
      </c>
      <c r="B98" s="183" t="s">
        <v>605</v>
      </c>
      <c r="C98" s="180">
        <f t="shared" ref="C98:Z98" si="44">C99+C100</f>
        <v>0</v>
      </c>
      <c r="D98" s="180">
        <f t="shared" si="44"/>
        <v>0</v>
      </c>
      <c r="E98" s="180">
        <f t="shared" si="44"/>
        <v>0</v>
      </c>
      <c r="F98" s="180">
        <f t="shared" si="44"/>
        <v>0</v>
      </c>
      <c r="G98" s="180">
        <f t="shared" si="44"/>
        <v>0</v>
      </c>
      <c r="H98" s="180">
        <f t="shared" si="44"/>
        <v>0</v>
      </c>
      <c r="I98" s="180">
        <v>0</v>
      </c>
      <c r="J98" s="180">
        <v>0</v>
      </c>
      <c r="K98" s="180">
        <v>0</v>
      </c>
      <c r="L98" s="180">
        <v>0</v>
      </c>
      <c r="M98" s="180">
        <f>+M99</f>
        <v>0</v>
      </c>
      <c r="N98" s="180">
        <f t="shared" si="44"/>
        <v>2800000</v>
      </c>
      <c r="O98" s="180">
        <f t="shared" si="44"/>
        <v>0</v>
      </c>
      <c r="P98" s="180">
        <v>0</v>
      </c>
      <c r="Q98" s="180">
        <f t="shared" si="44"/>
        <v>0</v>
      </c>
      <c r="R98" s="180">
        <v>0</v>
      </c>
      <c r="S98" s="180">
        <v>0</v>
      </c>
      <c r="T98" s="180">
        <v>0</v>
      </c>
      <c r="U98" s="180">
        <v>0</v>
      </c>
      <c r="V98" s="180">
        <v>0</v>
      </c>
      <c r="W98" s="180">
        <v>0</v>
      </c>
      <c r="X98" s="180">
        <v>0</v>
      </c>
      <c r="Y98" s="180">
        <f t="shared" si="44"/>
        <v>0</v>
      </c>
      <c r="Z98" s="180">
        <f t="shared" si="44"/>
        <v>0</v>
      </c>
      <c r="AA98" s="171">
        <f t="shared" si="33"/>
        <v>2800000</v>
      </c>
      <c r="AB98" s="186">
        <f t="shared" si="43"/>
        <v>6.1443237079715557E-3</v>
      </c>
    </row>
    <row r="99" spans="1:170" s="112" customFormat="1" ht="16.5" customHeight="1" x14ac:dyDescent="0.25">
      <c r="A99" s="166" t="s">
        <v>446</v>
      </c>
      <c r="B99" s="173" t="s">
        <v>606</v>
      </c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633">
        <f>+GETPIVOTDATA("valor",Sheet1!$I$2,"rubrica","02.07.02.01","cc","Direcao da Familia, Inclusão, Genero e Saúde")</f>
        <v>2800000</v>
      </c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74">
        <f t="shared" si="33"/>
        <v>2800000</v>
      </c>
      <c r="AB99" s="146">
        <f t="shared" si="43"/>
        <v>6.1443237079715557E-3</v>
      </c>
    </row>
    <row r="100" spans="1:170" s="112" customFormat="1" ht="12.95" customHeight="1" x14ac:dyDescent="0.25">
      <c r="A100" s="166" t="s">
        <v>607</v>
      </c>
      <c r="B100" s="173" t="s">
        <v>328</v>
      </c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74">
        <f t="shared" si="33"/>
        <v>0</v>
      </c>
      <c r="AB100" s="146">
        <f t="shared" si="43"/>
        <v>0</v>
      </c>
    </row>
    <row r="101" spans="1:170" s="133" customFormat="1" ht="14.25" customHeight="1" x14ac:dyDescent="0.2">
      <c r="A101" s="158" t="s">
        <v>608</v>
      </c>
      <c r="B101" s="158" t="s">
        <v>609</v>
      </c>
      <c r="C101" s="159">
        <f t="shared" ref="C101:Z101" si="45">SUM(C102:C107)</f>
        <v>0</v>
      </c>
      <c r="D101" s="159">
        <f t="shared" si="45"/>
        <v>0</v>
      </c>
      <c r="E101" s="159">
        <f t="shared" si="45"/>
        <v>4500000</v>
      </c>
      <c r="F101" s="159">
        <f t="shared" si="45"/>
        <v>0</v>
      </c>
      <c r="G101" s="159">
        <f t="shared" si="45"/>
        <v>0</v>
      </c>
      <c r="H101" s="159">
        <f t="shared" si="45"/>
        <v>4000000</v>
      </c>
      <c r="I101" s="159">
        <f>+I102+I103+I104+I105+I106+I107</f>
        <v>0</v>
      </c>
      <c r="J101" s="159">
        <f>+J102+J103+J104+J105+J106+J107</f>
        <v>0</v>
      </c>
      <c r="K101" s="159">
        <f>+K102+K103+K104+K105+K106+K107</f>
        <v>0</v>
      </c>
      <c r="L101" s="159">
        <f>+L102+L103+L104+L105+L106+L107</f>
        <v>0</v>
      </c>
      <c r="M101" s="159">
        <f>+M103+M104+M105+M106+M107</f>
        <v>6900000</v>
      </c>
      <c r="N101" s="159">
        <f t="shared" si="45"/>
        <v>1200000</v>
      </c>
      <c r="O101" s="159">
        <f>SUM(O97:O100)</f>
        <v>0</v>
      </c>
      <c r="P101" s="159">
        <f>+P102+P103+P104+P105+P106+P107</f>
        <v>1200000</v>
      </c>
      <c r="Q101" s="159">
        <f t="shared" si="45"/>
        <v>0</v>
      </c>
      <c r="R101" s="159">
        <v>0</v>
      </c>
      <c r="S101" s="159">
        <v>0</v>
      </c>
      <c r="T101" s="159">
        <v>0</v>
      </c>
      <c r="U101" s="159">
        <v>0</v>
      </c>
      <c r="V101" s="159">
        <v>0</v>
      </c>
      <c r="W101" s="159">
        <v>0</v>
      </c>
      <c r="X101" s="159">
        <v>0</v>
      </c>
      <c r="Y101" s="159">
        <f t="shared" si="45"/>
        <v>20000000</v>
      </c>
      <c r="Z101" s="159">
        <f t="shared" si="45"/>
        <v>0</v>
      </c>
      <c r="AA101" s="159">
        <f t="shared" si="33"/>
        <v>37800000</v>
      </c>
      <c r="AB101" s="131">
        <f>AA101/$AA$9</f>
        <v>8.2948370057616003E-2</v>
      </c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12"/>
      <c r="BN101" s="112"/>
      <c r="BO101" s="112"/>
      <c r="BP101" s="112"/>
      <c r="BQ101" s="112"/>
      <c r="BR101" s="112"/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112"/>
      <c r="CC101" s="112"/>
      <c r="CD101" s="112"/>
      <c r="CE101" s="112"/>
      <c r="CF101" s="112"/>
      <c r="CG101" s="112"/>
      <c r="CH101" s="112"/>
      <c r="CI101" s="112"/>
      <c r="CJ101" s="112"/>
      <c r="CK101" s="112"/>
      <c r="CL101" s="112"/>
      <c r="CM101" s="112"/>
      <c r="CN101" s="112"/>
      <c r="CO101" s="112"/>
      <c r="CP101" s="112"/>
      <c r="CQ101" s="112"/>
      <c r="CR101" s="112"/>
      <c r="CS101" s="112"/>
      <c r="CT101" s="112"/>
      <c r="CU101" s="112"/>
      <c r="CV101" s="112"/>
      <c r="CW101" s="112"/>
      <c r="CX101" s="112"/>
      <c r="CY101" s="112"/>
      <c r="CZ101" s="112"/>
      <c r="DA101" s="112"/>
      <c r="DB101" s="112"/>
      <c r="DC101" s="112"/>
      <c r="DD101" s="112"/>
      <c r="DE101" s="112"/>
      <c r="DF101" s="112"/>
      <c r="DG101" s="112"/>
      <c r="DH101" s="112"/>
      <c r="DI101" s="112"/>
      <c r="DJ101" s="112"/>
      <c r="DK101" s="112"/>
      <c r="DL101" s="112"/>
      <c r="DM101" s="112"/>
      <c r="DN101" s="112"/>
      <c r="DO101" s="112"/>
      <c r="DP101" s="112"/>
      <c r="DQ101" s="112"/>
      <c r="DR101" s="112"/>
      <c r="DS101" s="112"/>
      <c r="DT101" s="112"/>
      <c r="DU101" s="112"/>
      <c r="DV101" s="112"/>
      <c r="DW101" s="112"/>
      <c r="DX101" s="112"/>
      <c r="DY101" s="112"/>
      <c r="DZ101" s="112"/>
      <c r="EA101" s="112"/>
      <c r="EB101" s="112"/>
      <c r="EC101" s="112"/>
      <c r="ED101" s="112"/>
      <c r="EE101" s="112"/>
      <c r="EF101" s="112"/>
      <c r="EG101" s="112"/>
      <c r="EH101" s="112"/>
      <c r="EI101" s="112"/>
      <c r="EJ101" s="112"/>
      <c r="EK101" s="112"/>
      <c r="EL101" s="112"/>
      <c r="EM101" s="112"/>
      <c r="EN101" s="112"/>
      <c r="EO101" s="112"/>
      <c r="EP101" s="112"/>
      <c r="EQ101" s="112"/>
      <c r="ER101" s="112"/>
      <c r="ES101" s="112"/>
      <c r="ET101" s="112"/>
      <c r="EU101" s="112"/>
      <c r="EV101" s="112"/>
      <c r="EW101" s="112"/>
      <c r="EX101" s="112"/>
      <c r="EY101" s="112"/>
      <c r="EZ101" s="112"/>
      <c r="FA101" s="112"/>
      <c r="FB101" s="112"/>
      <c r="FC101" s="112"/>
      <c r="FD101" s="112"/>
      <c r="FE101" s="112"/>
      <c r="FF101" s="112"/>
      <c r="FG101" s="112"/>
      <c r="FH101" s="112"/>
      <c r="FI101" s="112"/>
      <c r="FJ101" s="112"/>
      <c r="FK101" s="112"/>
      <c r="FL101" s="112"/>
      <c r="FM101" s="112"/>
      <c r="FN101" s="112"/>
    </row>
    <row r="102" spans="1:170" s="112" customFormat="1" ht="16.5" customHeight="1" x14ac:dyDescent="0.25">
      <c r="A102" s="166" t="s">
        <v>610</v>
      </c>
      <c r="B102" s="173" t="s">
        <v>611</v>
      </c>
      <c r="C102" s="144">
        <v>0</v>
      </c>
      <c r="D102" s="144">
        <v>0</v>
      </c>
      <c r="E102" s="144">
        <v>700000</v>
      </c>
      <c r="F102" s="144">
        <v>0</v>
      </c>
      <c r="G102" s="144">
        <v>0</v>
      </c>
      <c r="H102" s="144">
        <v>0</v>
      </c>
      <c r="I102" s="144">
        <v>0</v>
      </c>
      <c r="J102" s="144">
        <v>0</v>
      </c>
      <c r="K102" s="144">
        <v>0</v>
      </c>
      <c r="L102" s="144">
        <v>0</v>
      </c>
      <c r="M102" s="144">
        <v>0</v>
      </c>
      <c r="N102" s="144">
        <v>0</v>
      </c>
      <c r="O102" s="144">
        <v>0</v>
      </c>
      <c r="P102" s="144">
        <v>0</v>
      </c>
      <c r="Q102" s="144">
        <v>0</v>
      </c>
      <c r="R102" s="144">
        <v>0</v>
      </c>
      <c r="S102" s="144">
        <v>0</v>
      </c>
      <c r="T102" s="144">
        <v>0</v>
      </c>
      <c r="U102" s="144">
        <v>0</v>
      </c>
      <c r="V102" s="144">
        <v>0</v>
      </c>
      <c r="W102" s="144">
        <v>0</v>
      </c>
      <c r="X102" s="144"/>
      <c r="Y102" s="144">
        <v>0</v>
      </c>
      <c r="Z102" s="144">
        <v>0</v>
      </c>
      <c r="AA102" s="174">
        <f t="shared" si="33"/>
        <v>700000</v>
      </c>
      <c r="AB102" s="146">
        <f t="shared" si="43"/>
        <v>1.5360809269928889E-3</v>
      </c>
    </row>
    <row r="103" spans="1:170" s="112" customFormat="1" ht="15.75" customHeight="1" x14ac:dyDescent="0.25">
      <c r="A103" s="166" t="s">
        <v>451</v>
      </c>
      <c r="B103" s="173" t="s">
        <v>609</v>
      </c>
      <c r="C103" s="144">
        <v>0</v>
      </c>
      <c r="D103" s="144">
        <v>0</v>
      </c>
      <c r="E103" s="144"/>
      <c r="F103" s="144">
        <v>0</v>
      </c>
      <c r="G103" s="144">
        <v>0</v>
      </c>
      <c r="H103" s="633">
        <f>+GETPIVOTDATA("valor",Sheet1!$I$2,"rubrica","02.08.02","cc","Dir. Juventude e Cultura ")</f>
        <v>4000000</v>
      </c>
      <c r="I103" s="144"/>
      <c r="J103" s="144">
        <v>0</v>
      </c>
      <c r="K103" s="144">
        <v>0</v>
      </c>
      <c r="L103" s="144">
        <v>0</v>
      </c>
      <c r="M103" s="633">
        <f>+GETPIVOTDATA("valor",Sheet1!$I$2,"rubrica","02.08.02","cc","Direção da Educação, Formação Profissional, Emprego")</f>
        <v>6900000</v>
      </c>
      <c r="N103" s="633">
        <f>+GETPIVOTDATA("valor",Sheet1!$I$2,"rubrica","02.08.02","cc","Direcao da Familia, Inclusão, Genero e Saúde")</f>
        <v>1200000</v>
      </c>
      <c r="O103" s="144">
        <v>0</v>
      </c>
      <c r="P103" s="633">
        <f>+GETPIVOTDATA("valor",Sheet1!$I$2,"rubrica","02.08.02","cc","Dir. da Agricultura, Pecuaria e Floresta")</f>
        <v>1200000</v>
      </c>
      <c r="Q103" s="144">
        <v>0</v>
      </c>
      <c r="R103" s="144">
        <v>0</v>
      </c>
      <c r="S103" s="144">
        <v>0</v>
      </c>
      <c r="T103" s="144">
        <v>0</v>
      </c>
      <c r="U103" s="144">
        <v>0</v>
      </c>
      <c r="V103" s="144">
        <v>0</v>
      </c>
      <c r="W103" s="144">
        <v>0</v>
      </c>
      <c r="X103" s="144"/>
      <c r="Y103" s="633">
        <f>+GETPIVOTDATA("valor",Sheet1!$I$2,"rubrica","02.08.02","cc","Direção de Obras")</f>
        <v>20000000</v>
      </c>
      <c r="Z103" s="144">
        <v>0</v>
      </c>
      <c r="AA103" s="174">
        <f t="shared" si="33"/>
        <v>33300000</v>
      </c>
      <c r="AB103" s="146">
        <f t="shared" si="43"/>
        <v>7.3073564098376009E-2</v>
      </c>
    </row>
    <row r="104" spans="1:170" s="112" customFormat="1" ht="15" customHeight="1" x14ac:dyDescent="0.25">
      <c r="A104" s="166" t="s">
        <v>612</v>
      </c>
      <c r="B104" s="173" t="s">
        <v>613</v>
      </c>
      <c r="C104" s="144">
        <v>0</v>
      </c>
      <c r="D104" s="144">
        <v>0</v>
      </c>
      <c r="E104" s="144">
        <v>0</v>
      </c>
      <c r="F104" s="144">
        <v>0</v>
      </c>
      <c r="G104" s="144">
        <v>0</v>
      </c>
      <c r="H104" s="144">
        <v>0</v>
      </c>
      <c r="I104" s="144">
        <v>0</v>
      </c>
      <c r="J104" s="144">
        <v>0</v>
      </c>
      <c r="K104" s="144">
        <v>0</v>
      </c>
      <c r="L104" s="144">
        <v>0</v>
      </c>
      <c r="M104" s="144">
        <v>0</v>
      </c>
      <c r="N104" s="144">
        <v>0</v>
      </c>
      <c r="O104" s="144">
        <v>0</v>
      </c>
      <c r="P104" s="144">
        <v>0</v>
      </c>
      <c r="Q104" s="144">
        <v>0</v>
      </c>
      <c r="R104" s="144">
        <v>0</v>
      </c>
      <c r="S104" s="144">
        <v>0</v>
      </c>
      <c r="T104" s="144">
        <v>0</v>
      </c>
      <c r="U104" s="144">
        <v>0</v>
      </c>
      <c r="V104" s="144">
        <v>0</v>
      </c>
      <c r="W104" s="144">
        <v>0</v>
      </c>
      <c r="X104" s="144"/>
      <c r="Y104" s="144">
        <v>0</v>
      </c>
      <c r="Z104" s="144">
        <v>0</v>
      </c>
      <c r="AA104" s="174">
        <f t="shared" si="33"/>
        <v>0</v>
      </c>
      <c r="AB104" s="146">
        <f t="shared" si="43"/>
        <v>0</v>
      </c>
    </row>
    <row r="105" spans="1:170" s="112" customFormat="1" ht="15.75" customHeight="1" x14ac:dyDescent="0.25">
      <c r="A105" s="166" t="s">
        <v>614</v>
      </c>
      <c r="B105" s="173" t="s">
        <v>615</v>
      </c>
      <c r="C105" s="144">
        <v>0</v>
      </c>
      <c r="D105" s="144">
        <v>0</v>
      </c>
      <c r="E105" s="144">
        <v>300000</v>
      </c>
      <c r="F105" s="144">
        <v>0</v>
      </c>
      <c r="G105" s="144">
        <v>0</v>
      </c>
      <c r="H105" s="144">
        <v>0</v>
      </c>
      <c r="I105" s="144">
        <v>0</v>
      </c>
      <c r="J105" s="144">
        <v>0</v>
      </c>
      <c r="K105" s="144">
        <v>0</v>
      </c>
      <c r="L105" s="144">
        <v>0</v>
      </c>
      <c r="M105" s="144">
        <v>0</v>
      </c>
      <c r="N105" s="144">
        <v>0</v>
      </c>
      <c r="O105" s="144">
        <v>0</v>
      </c>
      <c r="P105" s="144">
        <v>0</v>
      </c>
      <c r="Q105" s="144">
        <v>0</v>
      </c>
      <c r="R105" s="144">
        <v>0</v>
      </c>
      <c r="S105" s="144">
        <v>0</v>
      </c>
      <c r="T105" s="144">
        <v>0</v>
      </c>
      <c r="U105" s="144">
        <v>0</v>
      </c>
      <c r="V105" s="144">
        <v>0</v>
      </c>
      <c r="W105" s="144">
        <v>0</v>
      </c>
      <c r="X105" s="144"/>
      <c r="Y105" s="144">
        <v>0</v>
      </c>
      <c r="Z105" s="144">
        <v>0</v>
      </c>
      <c r="AA105" s="174">
        <f t="shared" si="33"/>
        <v>300000</v>
      </c>
      <c r="AB105" s="146">
        <f t="shared" si="43"/>
        <v>6.5832039728266672E-4</v>
      </c>
    </row>
    <row r="106" spans="1:170" s="112" customFormat="1" ht="18.75" customHeight="1" x14ac:dyDescent="0.25">
      <c r="A106" s="166" t="s">
        <v>616</v>
      </c>
      <c r="B106" s="173" t="s">
        <v>617</v>
      </c>
      <c r="C106" s="144">
        <v>0</v>
      </c>
      <c r="D106" s="144">
        <v>0</v>
      </c>
      <c r="E106" s="144">
        <v>500000</v>
      </c>
      <c r="F106" s="144">
        <v>0</v>
      </c>
      <c r="G106" s="144">
        <v>0</v>
      </c>
      <c r="H106" s="144">
        <v>0</v>
      </c>
      <c r="I106" s="144">
        <v>0</v>
      </c>
      <c r="J106" s="144">
        <v>0</v>
      </c>
      <c r="K106" s="144">
        <v>0</v>
      </c>
      <c r="L106" s="144">
        <v>0</v>
      </c>
      <c r="M106" s="144">
        <v>0</v>
      </c>
      <c r="N106" s="144">
        <v>0</v>
      </c>
      <c r="O106" s="144">
        <v>0</v>
      </c>
      <c r="P106" s="144">
        <v>0</v>
      </c>
      <c r="Q106" s="144">
        <v>0</v>
      </c>
      <c r="R106" s="144">
        <v>0</v>
      </c>
      <c r="S106" s="144">
        <v>0</v>
      </c>
      <c r="T106" s="144">
        <v>0</v>
      </c>
      <c r="U106" s="144">
        <v>0</v>
      </c>
      <c r="V106" s="144">
        <v>0</v>
      </c>
      <c r="W106" s="144">
        <v>0</v>
      </c>
      <c r="X106" s="144"/>
      <c r="Y106" s="144">
        <v>0</v>
      </c>
      <c r="Z106" s="144">
        <v>0</v>
      </c>
      <c r="AA106" s="174">
        <f t="shared" si="33"/>
        <v>500000</v>
      </c>
      <c r="AB106" s="146">
        <f t="shared" si="43"/>
        <v>1.0972006621377778E-3</v>
      </c>
    </row>
    <row r="107" spans="1:170" s="112" customFormat="1" ht="15.75" customHeight="1" x14ac:dyDescent="0.25">
      <c r="A107" s="166" t="s">
        <v>618</v>
      </c>
      <c r="B107" s="173" t="s">
        <v>465</v>
      </c>
      <c r="C107" s="144">
        <v>0</v>
      </c>
      <c r="D107" s="144">
        <v>0</v>
      </c>
      <c r="E107" s="144">
        <v>3000000</v>
      </c>
      <c r="F107" s="144">
        <v>0</v>
      </c>
      <c r="G107" s="144">
        <v>0</v>
      </c>
      <c r="H107" s="144">
        <v>0</v>
      </c>
      <c r="I107" s="144">
        <v>0</v>
      </c>
      <c r="J107" s="144">
        <v>0</v>
      </c>
      <c r="K107" s="144">
        <v>0</v>
      </c>
      <c r="L107" s="144">
        <v>0</v>
      </c>
      <c r="M107" s="144">
        <v>0</v>
      </c>
      <c r="N107" s="144">
        <v>0</v>
      </c>
      <c r="O107" s="144">
        <v>0</v>
      </c>
      <c r="P107" s="144">
        <v>0</v>
      </c>
      <c r="Q107" s="144">
        <v>0</v>
      </c>
      <c r="R107" s="144">
        <v>0</v>
      </c>
      <c r="S107" s="144">
        <v>0</v>
      </c>
      <c r="T107" s="144">
        <v>0</v>
      </c>
      <c r="U107" s="144">
        <v>0</v>
      </c>
      <c r="V107" s="144">
        <v>0</v>
      </c>
      <c r="W107" s="144">
        <v>0</v>
      </c>
      <c r="X107" s="144"/>
      <c r="Y107" s="144">
        <v>0</v>
      </c>
      <c r="Z107" s="144">
        <v>0</v>
      </c>
      <c r="AA107" s="174">
        <f t="shared" si="33"/>
        <v>3000000</v>
      </c>
      <c r="AB107" s="146">
        <f t="shared" si="43"/>
        <v>6.5832039728266666E-3</v>
      </c>
    </row>
    <row r="108" spans="1:170" s="112" customFormat="1" ht="15.75" hidden="1" x14ac:dyDescent="0.25">
      <c r="A108" s="187"/>
      <c r="B108" s="187"/>
      <c r="C108" s="188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71">
        <f t="shared" si="33"/>
        <v>0</v>
      </c>
      <c r="AB108" s="172"/>
    </row>
    <row r="109" spans="1:170" s="112" customFormat="1" ht="15.75" hidden="1" x14ac:dyDescent="0.25">
      <c r="A109" s="190" t="s">
        <v>619</v>
      </c>
      <c r="B109" s="190" t="s">
        <v>620</v>
      </c>
      <c r="C109" s="181"/>
      <c r="D109" s="191"/>
      <c r="E109" s="191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1">
        <f t="shared" si="33"/>
        <v>0</v>
      </c>
      <c r="AB109" s="172"/>
    </row>
    <row r="110" spans="1:170" s="124" customFormat="1" ht="15.75" hidden="1" x14ac:dyDescent="0.25">
      <c r="A110" s="190" t="s">
        <v>621</v>
      </c>
      <c r="B110" s="192" t="s">
        <v>622</v>
      </c>
      <c r="C110" s="183"/>
      <c r="D110" s="183"/>
      <c r="E110" s="191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71">
        <f t="shared" si="33"/>
        <v>0</v>
      </c>
      <c r="AB110" s="17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2"/>
      <c r="CB110" s="112"/>
      <c r="CC110" s="112"/>
      <c r="CD110" s="112"/>
      <c r="CE110" s="112"/>
      <c r="CF110" s="112"/>
      <c r="CG110" s="112"/>
      <c r="CH110" s="112"/>
      <c r="CI110" s="112"/>
      <c r="CJ110" s="112"/>
      <c r="CK110" s="112"/>
      <c r="CL110" s="112"/>
      <c r="CM110" s="112"/>
      <c r="CN110" s="112"/>
      <c r="CO110" s="112"/>
      <c r="CP110" s="112"/>
      <c r="CQ110" s="112"/>
      <c r="CR110" s="112"/>
      <c r="CS110" s="112"/>
      <c r="CT110" s="112"/>
      <c r="CU110" s="112"/>
      <c r="CV110" s="112"/>
      <c r="CW110" s="112"/>
      <c r="CX110" s="112"/>
      <c r="CY110" s="112"/>
      <c r="CZ110" s="112"/>
      <c r="DA110" s="112"/>
      <c r="DB110" s="112"/>
      <c r="DC110" s="112"/>
      <c r="DD110" s="112"/>
      <c r="DE110" s="112"/>
      <c r="DF110" s="112"/>
      <c r="DG110" s="112"/>
      <c r="DH110" s="112"/>
      <c r="DI110" s="112"/>
      <c r="DJ110" s="112"/>
      <c r="DK110" s="112"/>
      <c r="DL110" s="112"/>
      <c r="DM110" s="112"/>
      <c r="DN110" s="112"/>
      <c r="DO110" s="112"/>
      <c r="DP110" s="112"/>
      <c r="DQ110" s="112"/>
      <c r="DR110" s="112"/>
      <c r="DS110" s="112"/>
      <c r="DT110" s="112"/>
      <c r="DU110" s="112"/>
      <c r="DV110" s="112"/>
      <c r="DW110" s="112"/>
      <c r="DX110" s="112"/>
      <c r="DY110" s="112"/>
      <c r="DZ110" s="112"/>
      <c r="EA110" s="112"/>
      <c r="EB110" s="112"/>
      <c r="EC110" s="112"/>
      <c r="ED110" s="112"/>
      <c r="EE110" s="112"/>
      <c r="EF110" s="112"/>
      <c r="EG110" s="112"/>
      <c r="EH110" s="112"/>
      <c r="EI110" s="112"/>
      <c r="EJ110" s="112"/>
      <c r="EK110" s="112"/>
      <c r="EL110" s="112"/>
      <c r="EM110" s="112"/>
      <c r="EN110" s="112"/>
      <c r="EO110" s="112"/>
      <c r="EP110" s="112"/>
      <c r="EQ110" s="112"/>
      <c r="ER110" s="112"/>
      <c r="ES110" s="112"/>
      <c r="ET110" s="112"/>
      <c r="EU110" s="112"/>
      <c r="EV110" s="112"/>
      <c r="EW110" s="112"/>
      <c r="EX110" s="112"/>
      <c r="EY110" s="112"/>
      <c r="EZ110" s="112"/>
      <c r="FA110" s="112"/>
      <c r="FB110" s="112"/>
      <c r="FC110" s="112"/>
      <c r="FD110" s="112"/>
      <c r="FE110" s="112"/>
      <c r="FF110" s="112"/>
      <c r="FG110" s="112"/>
      <c r="FH110" s="112"/>
      <c r="FI110" s="112"/>
      <c r="FJ110" s="112"/>
      <c r="FK110" s="112"/>
      <c r="FL110" s="112"/>
      <c r="FM110" s="112"/>
      <c r="FN110" s="112"/>
    </row>
    <row r="111" spans="1:170" s="112" customFormat="1" ht="15.75" hidden="1" x14ac:dyDescent="0.25">
      <c r="A111" s="193" t="s">
        <v>623</v>
      </c>
      <c r="B111" s="194" t="s">
        <v>624</v>
      </c>
      <c r="C111" s="173"/>
      <c r="D111" s="173"/>
      <c r="E111" s="195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1">
        <f t="shared" si="33"/>
        <v>0</v>
      </c>
      <c r="AB111" s="172"/>
    </row>
    <row r="112" spans="1:170" s="112" customFormat="1" ht="15.75" hidden="1" x14ac:dyDescent="0.25">
      <c r="A112" s="193" t="s">
        <v>625</v>
      </c>
      <c r="B112" s="194" t="s">
        <v>626</v>
      </c>
      <c r="C112" s="173"/>
      <c r="D112" s="173"/>
      <c r="E112" s="195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1">
        <f t="shared" si="33"/>
        <v>0</v>
      </c>
      <c r="AB112" s="172"/>
    </row>
    <row r="113" spans="1:170" s="112" customFormat="1" ht="15.75" hidden="1" x14ac:dyDescent="0.25">
      <c r="A113" s="193" t="s">
        <v>627</v>
      </c>
      <c r="B113" s="194" t="s">
        <v>628</v>
      </c>
      <c r="C113" s="173"/>
      <c r="D113" s="173"/>
      <c r="E113" s="195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1">
        <f t="shared" si="33"/>
        <v>0</v>
      </c>
      <c r="AB113" s="172"/>
    </row>
    <row r="114" spans="1:170" s="112" customFormat="1" ht="15.75" hidden="1" x14ac:dyDescent="0.25">
      <c r="A114" s="193" t="s">
        <v>629</v>
      </c>
      <c r="B114" s="194" t="s">
        <v>630</v>
      </c>
      <c r="C114" s="173"/>
      <c r="D114" s="173"/>
      <c r="E114" s="195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1">
        <f t="shared" si="33"/>
        <v>0</v>
      </c>
      <c r="AB114" s="172"/>
    </row>
    <row r="115" spans="1:170" s="112" customFormat="1" ht="15.75" hidden="1" x14ac:dyDescent="0.25">
      <c r="A115" s="187" t="s">
        <v>631</v>
      </c>
      <c r="B115" s="193" t="s">
        <v>632</v>
      </c>
      <c r="C115" s="173"/>
      <c r="D115" s="173"/>
      <c r="E115" s="195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1">
        <f t="shared" si="33"/>
        <v>0</v>
      </c>
      <c r="AB115" s="172"/>
    </row>
    <row r="116" spans="1:170" s="112" customFormat="1" ht="15.75" hidden="1" x14ac:dyDescent="0.25">
      <c r="A116" s="193" t="s">
        <v>633</v>
      </c>
      <c r="B116" s="194" t="s">
        <v>634</v>
      </c>
      <c r="C116" s="173"/>
      <c r="D116" s="173"/>
      <c r="E116" s="195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1">
        <f t="shared" si="33"/>
        <v>0</v>
      </c>
      <c r="AB116" s="172"/>
    </row>
    <row r="117" spans="1:170" s="112" customFormat="1" ht="15.75" hidden="1" x14ac:dyDescent="0.25">
      <c r="A117" s="187" t="s">
        <v>635</v>
      </c>
      <c r="B117" s="193" t="s">
        <v>636</v>
      </c>
      <c r="C117" s="173"/>
      <c r="D117" s="173"/>
      <c r="E117" s="195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1">
        <f t="shared" si="33"/>
        <v>0</v>
      </c>
      <c r="AB117" s="172"/>
    </row>
    <row r="118" spans="1:170" s="112" customFormat="1" ht="15.75" hidden="1" x14ac:dyDescent="0.25">
      <c r="A118" s="187" t="s">
        <v>637</v>
      </c>
      <c r="B118" s="193" t="s">
        <v>638</v>
      </c>
      <c r="C118" s="173"/>
      <c r="D118" s="173"/>
      <c r="E118" s="195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1">
        <f t="shared" si="33"/>
        <v>0</v>
      </c>
      <c r="AB118" s="172"/>
    </row>
    <row r="119" spans="1:170" s="196" customFormat="1" ht="15.75" hidden="1" x14ac:dyDescent="0.25">
      <c r="A119" s="187" t="s">
        <v>639</v>
      </c>
      <c r="B119" s="193" t="s">
        <v>640</v>
      </c>
      <c r="C119" s="173"/>
      <c r="D119" s="173"/>
      <c r="E119" s="195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1">
        <f t="shared" si="33"/>
        <v>0</v>
      </c>
      <c r="AB119" s="17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  <c r="BY119" s="112"/>
      <c r="BZ119" s="112"/>
      <c r="CA119" s="112"/>
      <c r="CB119" s="112"/>
      <c r="CC119" s="112"/>
      <c r="CD119" s="112"/>
      <c r="CE119" s="112"/>
      <c r="CF119" s="112"/>
      <c r="CG119" s="112"/>
      <c r="CH119" s="112"/>
      <c r="CI119" s="112"/>
      <c r="CJ119" s="112"/>
      <c r="CK119" s="112"/>
      <c r="CL119" s="112"/>
      <c r="CM119" s="112"/>
      <c r="CN119" s="112"/>
      <c r="CO119" s="112"/>
      <c r="CP119" s="112"/>
      <c r="CQ119" s="112"/>
      <c r="CR119" s="112"/>
      <c r="CS119" s="112"/>
      <c r="CT119" s="112"/>
      <c r="CU119" s="112"/>
      <c r="CV119" s="112"/>
      <c r="CW119" s="112"/>
      <c r="CX119" s="112"/>
      <c r="CY119" s="112"/>
      <c r="CZ119" s="112"/>
      <c r="DA119" s="112"/>
      <c r="DB119" s="112"/>
      <c r="DC119" s="112"/>
      <c r="DD119" s="112"/>
      <c r="DE119" s="112"/>
      <c r="DF119" s="112"/>
      <c r="DG119" s="112"/>
      <c r="DH119" s="112"/>
      <c r="DI119" s="112"/>
      <c r="DJ119" s="112"/>
      <c r="DK119" s="112"/>
      <c r="DL119" s="112"/>
      <c r="DM119" s="112"/>
      <c r="DN119" s="112"/>
      <c r="DO119" s="112"/>
      <c r="DP119" s="112"/>
      <c r="DQ119" s="112"/>
      <c r="DR119" s="112"/>
      <c r="DS119" s="112"/>
      <c r="DT119" s="112"/>
      <c r="DU119" s="112"/>
      <c r="DV119" s="112"/>
      <c r="DW119" s="112"/>
      <c r="DX119" s="112"/>
      <c r="DY119" s="112"/>
      <c r="DZ119" s="112"/>
      <c r="EA119" s="112"/>
      <c r="EB119" s="112"/>
      <c r="EC119" s="112"/>
      <c r="ED119" s="112"/>
      <c r="EE119" s="112"/>
      <c r="EF119" s="112"/>
      <c r="EG119" s="112"/>
      <c r="EH119" s="112"/>
      <c r="EI119" s="112"/>
      <c r="EJ119" s="112"/>
      <c r="EK119" s="112"/>
      <c r="EL119" s="112"/>
      <c r="EM119" s="112"/>
      <c r="EN119" s="112"/>
      <c r="EO119" s="112"/>
      <c r="EP119" s="112"/>
      <c r="EQ119" s="112"/>
      <c r="ER119" s="112"/>
      <c r="ES119" s="112"/>
      <c r="ET119" s="112"/>
      <c r="EU119" s="112"/>
      <c r="EV119" s="112"/>
      <c r="EW119" s="112"/>
      <c r="EX119" s="112"/>
      <c r="EY119" s="112"/>
      <c r="EZ119" s="112"/>
      <c r="FA119" s="112"/>
      <c r="FB119" s="112"/>
      <c r="FC119" s="112"/>
      <c r="FD119" s="112"/>
      <c r="FE119" s="112"/>
      <c r="FF119" s="112"/>
      <c r="FG119" s="112"/>
      <c r="FH119" s="112"/>
      <c r="FI119" s="112"/>
      <c r="FJ119" s="112"/>
      <c r="FK119" s="112"/>
      <c r="FL119" s="112"/>
      <c r="FM119" s="112"/>
      <c r="FN119" s="112"/>
    </row>
    <row r="120" spans="1:170" s="112" customFormat="1" ht="15.75" hidden="1" x14ac:dyDescent="0.25">
      <c r="A120" s="193" t="s">
        <v>641</v>
      </c>
      <c r="B120" s="194" t="s">
        <v>642</v>
      </c>
      <c r="C120" s="173"/>
      <c r="D120" s="173"/>
      <c r="E120" s="195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1">
        <f t="shared" si="33"/>
        <v>0</v>
      </c>
      <c r="AB120" s="172"/>
    </row>
    <row r="121" spans="1:170" s="112" customFormat="1" ht="15.75" hidden="1" x14ac:dyDescent="0.25">
      <c r="A121" s="187" t="s">
        <v>643</v>
      </c>
      <c r="B121" s="193" t="s">
        <v>644</v>
      </c>
      <c r="C121" s="173"/>
      <c r="D121" s="173"/>
      <c r="E121" s="195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1">
        <f t="shared" si="33"/>
        <v>0</v>
      </c>
      <c r="AB121" s="172"/>
    </row>
    <row r="122" spans="1:170" s="112" customFormat="1" ht="15.75" hidden="1" x14ac:dyDescent="0.25">
      <c r="A122" s="193" t="s">
        <v>645</v>
      </c>
      <c r="B122" s="194" t="s">
        <v>646</v>
      </c>
      <c r="C122" s="173"/>
      <c r="D122" s="173"/>
      <c r="E122" s="195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1">
        <f t="shared" si="33"/>
        <v>0</v>
      </c>
      <c r="AB122" s="172"/>
    </row>
    <row r="123" spans="1:170" s="112" customFormat="1" ht="15.75" hidden="1" x14ac:dyDescent="0.25">
      <c r="A123" s="187" t="s">
        <v>647</v>
      </c>
      <c r="B123" s="193" t="s">
        <v>648</v>
      </c>
      <c r="C123" s="173"/>
      <c r="D123" s="173"/>
      <c r="E123" s="195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1">
        <f t="shared" si="33"/>
        <v>0</v>
      </c>
      <c r="AB123" s="172"/>
    </row>
    <row r="124" spans="1:170" s="112" customFormat="1" ht="15.75" hidden="1" x14ac:dyDescent="0.25">
      <c r="A124" s="187" t="s">
        <v>649</v>
      </c>
      <c r="B124" s="193" t="s">
        <v>650</v>
      </c>
      <c r="C124" s="173"/>
      <c r="D124" s="173"/>
      <c r="E124" s="195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1">
        <f t="shared" si="33"/>
        <v>0</v>
      </c>
      <c r="AB124" s="172"/>
    </row>
    <row r="125" spans="1:170" s="112" customFormat="1" ht="15.75" hidden="1" x14ac:dyDescent="0.25">
      <c r="A125" s="187" t="s">
        <v>651</v>
      </c>
      <c r="B125" s="193" t="s">
        <v>652</v>
      </c>
      <c r="C125" s="173"/>
      <c r="D125" s="173"/>
      <c r="E125" s="195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1">
        <f t="shared" si="33"/>
        <v>0</v>
      </c>
      <c r="AB125" s="172"/>
    </row>
    <row r="126" spans="1:170" s="112" customFormat="1" ht="15.75" hidden="1" x14ac:dyDescent="0.25">
      <c r="A126" s="187" t="s">
        <v>653</v>
      </c>
      <c r="B126" s="193" t="s">
        <v>654</v>
      </c>
      <c r="C126" s="173"/>
      <c r="D126" s="173"/>
      <c r="E126" s="195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1">
        <f t="shared" si="33"/>
        <v>0</v>
      </c>
      <c r="AB126" s="172"/>
    </row>
    <row r="127" spans="1:170" s="112" customFormat="1" ht="15.75" hidden="1" x14ac:dyDescent="0.25">
      <c r="A127" s="187" t="s">
        <v>655</v>
      </c>
      <c r="B127" s="193" t="s">
        <v>656</v>
      </c>
      <c r="C127" s="173"/>
      <c r="D127" s="173"/>
      <c r="E127" s="195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1">
        <f t="shared" si="33"/>
        <v>0</v>
      </c>
      <c r="AB127" s="172"/>
    </row>
    <row r="128" spans="1:170" s="112" customFormat="1" ht="15.75" hidden="1" x14ac:dyDescent="0.25">
      <c r="A128" s="187" t="s">
        <v>657</v>
      </c>
      <c r="B128" s="193" t="s">
        <v>658</v>
      </c>
      <c r="C128" s="173"/>
      <c r="D128" s="173"/>
      <c r="E128" s="195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1">
        <f t="shared" si="33"/>
        <v>0</v>
      </c>
      <c r="AB128" s="172"/>
    </row>
    <row r="129" spans="1:170" s="112" customFormat="1" ht="15.75" hidden="1" x14ac:dyDescent="0.25">
      <c r="A129" s="193" t="s">
        <v>659</v>
      </c>
      <c r="B129" s="194" t="s">
        <v>660</v>
      </c>
      <c r="C129" s="173"/>
      <c r="D129" s="173"/>
      <c r="E129" s="195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1">
        <f t="shared" si="33"/>
        <v>0</v>
      </c>
      <c r="AB129" s="172"/>
    </row>
    <row r="130" spans="1:170" s="112" customFormat="1" ht="15.75" hidden="1" x14ac:dyDescent="0.25">
      <c r="A130" s="187" t="s">
        <v>661</v>
      </c>
      <c r="B130" s="193" t="s">
        <v>662</v>
      </c>
      <c r="C130" s="173"/>
      <c r="D130" s="173"/>
      <c r="E130" s="195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1">
        <f t="shared" si="33"/>
        <v>0</v>
      </c>
      <c r="AB130" s="172"/>
    </row>
    <row r="131" spans="1:170" s="112" customFormat="1" ht="15.75" hidden="1" x14ac:dyDescent="0.25">
      <c r="A131" s="193" t="s">
        <v>657</v>
      </c>
      <c r="B131" s="194" t="s">
        <v>663</v>
      </c>
      <c r="C131" s="173"/>
      <c r="D131" s="173"/>
      <c r="E131" s="195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1">
        <f t="shared" si="33"/>
        <v>0</v>
      </c>
      <c r="AB131" s="172"/>
    </row>
    <row r="132" spans="1:170" s="124" customFormat="1" ht="15.75" hidden="1" x14ac:dyDescent="0.25">
      <c r="A132" s="190" t="s">
        <v>664</v>
      </c>
      <c r="B132" s="192" t="s">
        <v>665</v>
      </c>
      <c r="C132" s="183"/>
      <c r="D132" s="183"/>
      <c r="E132" s="191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71">
        <f t="shared" si="33"/>
        <v>0</v>
      </c>
      <c r="AB132" s="17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2"/>
      <c r="BM132" s="112"/>
      <c r="BN132" s="112"/>
      <c r="BO132" s="112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2"/>
      <c r="CA132" s="112"/>
      <c r="CB132" s="112"/>
      <c r="CC132" s="112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2"/>
      <c r="CO132" s="112"/>
      <c r="CP132" s="112"/>
      <c r="CQ132" s="112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2"/>
      <c r="DC132" s="112"/>
      <c r="DD132" s="112"/>
      <c r="DE132" s="112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2"/>
      <c r="DQ132" s="112"/>
      <c r="DR132" s="112"/>
      <c r="DS132" s="112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  <c r="ED132" s="112"/>
      <c r="EE132" s="112"/>
      <c r="EF132" s="112"/>
      <c r="EG132" s="112"/>
      <c r="EH132" s="112"/>
      <c r="EI132" s="112"/>
      <c r="EJ132" s="112"/>
      <c r="EK132" s="112"/>
      <c r="EL132" s="112"/>
      <c r="EM132" s="112"/>
      <c r="EN132" s="112"/>
      <c r="EO132" s="112"/>
      <c r="EP132" s="112"/>
      <c r="EQ132" s="112"/>
      <c r="ER132" s="112"/>
      <c r="ES132" s="112"/>
      <c r="ET132" s="112"/>
      <c r="EU132" s="112"/>
      <c r="EV132" s="112"/>
      <c r="EW132" s="112"/>
      <c r="EX132" s="112"/>
      <c r="EY132" s="112"/>
      <c r="EZ132" s="112"/>
      <c r="FA132" s="112"/>
      <c r="FB132" s="112"/>
      <c r="FC132" s="112"/>
      <c r="FD132" s="112"/>
      <c r="FE132" s="112"/>
      <c r="FF132" s="112"/>
      <c r="FG132" s="112"/>
      <c r="FH132" s="112"/>
      <c r="FI132" s="112"/>
      <c r="FJ132" s="112"/>
      <c r="FK132" s="112"/>
      <c r="FL132" s="112"/>
      <c r="FM132" s="112"/>
      <c r="FN132" s="112"/>
    </row>
    <row r="133" spans="1:170" s="112" customFormat="1" ht="15.75" hidden="1" x14ac:dyDescent="0.25">
      <c r="A133" s="193" t="s">
        <v>623</v>
      </c>
      <c r="B133" s="194" t="s">
        <v>624</v>
      </c>
      <c r="C133" s="173"/>
      <c r="D133" s="173"/>
      <c r="E133" s="195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1">
        <f t="shared" si="33"/>
        <v>0</v>
      </c>
      <c r="AB133" s="172"/>
    </row>
    <row r="134" spans="1:170" s="112" customFormat="1" ht="15.75" hidden="1" x14ac:dyDescent="0.25">
      <c r="A134" s="193" t="s">
        <v>625</v>
      </c>
      <c r="B134" s="194" t="s">
        <v>626</v>
      </c>
      <c r="C134" s="173"/>
      <c r="D134" s="173"/>
      <c r="E134" s="195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1">
        <f t="shared" si="33"/>
        <v>0</v>
      </c>
      <c r="AB134" s="172"/>
    </row>
    <row r="135" spans="1:170" s="112" customFormat="1" ht="15.75" hidden="1" x14ac:dyDescent="0.25">
      <c r="A135" s="193" t="s">
        <v>627</v>
      </c>
      <c r="B135" s="194" t="s">
        <v>628</v>
      </c>
      <c r="C135" s="173"/>
      <c r="D135" s="173"/>
      <c r="E135" s="195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1">
        <f t="shared" si="33"/>
        <v>0</v>
      </c>
      <c r="AB135" s="172"/>
    </row>
    <row r="136" spans="1:170" s="112" customFormat="1" ht="15.75" hidden="1" x14ac:dyDescent="0.25">
      <c r="A136" s="193" t="s">
        <v>629</v>
      </c>
      <c r="B136" s="194" t="s">
        <v>630</v>
      </c>
      <c r="C136" s="173"/>
      <c r="D136" s="173"/>
      <c r="E136" s="195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1">
        <f t="shared" si="33"/>
        <v>0</v>
      </c>
      <c r="AB136" s="172"/>
    </row>
    <row r="137" spans="1:170" s="112" customFormat="1" ht="15.75" hidden="1" x14ac:dyDescent="0.25">
      <c r="A137" s="187" t="s">
        <v>631</v>
      </c>
      <c r="B137" s="193" t="s">
        <v>632</v>
      </c>
      <c r="C137" s="173"/>
      <c r="D137" s="173"/>
      <c r="E137" s="195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1">
        <f t="shared" si="33"/>
        <v>0</v>
      </c>
      <c r="AB137" s="172"/>
    </row>
    <row r="138" spans="1:170" s="112" customFormat="1" ht="15.75" hidden="1" x14ac:dyDescent="0.25">
      <c r="A138" s="193" t="s">
        <v>633</v>
      </c>
      <c r="B138" s="194" t="s">
        <v>634</v>
      </c>
      <c r="C138" s="173"/>
      <c r="D138" s="173"/>
      <c r="E138" s="195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1">
        <f t="shared" ref="AA138:AA172" si="46">+SUM(C138:Z138)</f>
        <v>0</v>
      </c>
      <c r="AB138" s="172"/>
    </row>
    <row r="139" spans="1:170" s="112" customFormat="1" ht="15.75" hidden="1" x14ac:dyDescent="0.25">
      <c r="A139" s="187" t="s">
        <v>635</v>
      </c>
      <c r="B139" s="193" t="s">
        <v>636</v>
      </c>
      <c r="C139" s="173"/>
      <c r="D139" s="173"/>
      <c r="E139" s="195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1">
        <f t="shared" si="46"/>
        <v>0</v>
      </c>
      <c r="AB139" s="172"/>
    </row>
    <row r="140" spans="1:170" s="112" customFormat="1" ht="15.75" hidden="1" x14ac:dyDescent="0.25">
      <c r="A140" s="187" t="s">
        <v>637</v>
      </c>
      <c r="B140" s="193" t="s">
        <v>638</v>
      </c>
      <c r="C140" s="173"/>
      <c r="D140" s="173"/>
      <c r="E140" s="195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1">
        <f t="shared" si="46"/>
        <v>0</v>
      </c>
      <c r="AB140" s="172"/>
    </row>
    <row r="141" spans="1:170" s="196" customFormat="1" ht="15.75" hidden="1" x14ac:dyDescent="0.25">
      <c r="A141" s="187" t="s">
        <v>639</v>
      </c>
      <c r="B141" s="193" t="s">
        <v>640</v>
      </c>
      <c r="C141" s="173"/>
      <c r="D141" s="173"/>
      <c r="E141" s="195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1">
        <f t="shared" si="46"/>
        <v>0</v>
      </c>
      <c r="AB141" s="172"/>
      <c r="AC141" s="112"/>
      <c r="AD141" s="112"/>
      <c r="AE141" s="11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12"/>
      <c r="BM141" s="112"/>
      <c r="BN141" s="112"/>
      <c r="BO141" s="112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12"/>
      <c r="CA141" s="112"/>
      <c r="CB141" s="112"/>
      <c r="CC141" s="112"/>
      <c r="CD141" s="112"/>
      <c r="CE141" s="112"/>
      <c r="CF141" s="112"/>
      <c r="CG141" s="112"/>
      <c r="CH141" s="112"/>
      <c r="CI141" s="112"/>
      <c r="CJ141" s="112"/>
      <c r="CK141" s="112"/>
      <c r="CL141" s="112"/>
      <c r="CM141" s="112"/>
      <c r="CN141" s="112"/>
      <c r="CO141" s="112"/>
      <c r="CP141" s="112"/>
      <c r="CQ141" s="112"/>
      <c r="CR141" s="112"/>
      <c r="CS141" s="112"/>
      <c r="CT141" s="112"/>
      <c r="CU141" s="112"/>
      <c r="CV141" s="112"/>
      <c r="CW141" s="112"/>
      <c r="CX141" s="112"/>
      <c r="CY141" s="112"/>
      <c r="CZ141" s="112"/>
      <c r="DA141" s="112"/>
      <c r="DB141" s="112"/>
      <c r="DC141" s="112"/>
      <c r="DD141" s="112"/>
      <c r="DE141" s="112"/>
      <c r="DF141" s="112"/>
      <c r="DG141" s="112"/>
      <c r="DH141" s="112"/>
      <c r="DI141" s="112"/>
      <c r="DJ141" s="112"/>
      <c r="DK141" s="112"/>
      <c r="DL141" s="112"/>
      <c r="DM141" s="112"/>
      <c r="DN141" s="112"/>
      <c r="DO141" s="112"/>
      <c r="DP141" s="112"/>
      <c r="DQ141" s="112"/>
      <c r="DR141" s="112"/>
      <c r="DS141" s="112"/>
      <c r="DT141" s="112"/>
      <c r="DU141" s="112"/>
      <c r="DV141" s="112"/>
      <c r="DW141" s="112"/>
      <c r="DX141" s="112"/>
      <c r="DY141" s="112"/>
      <c r="DZ141" s="112"/>
      <c r="EA141" s="112"/>
      <c r="EB141" s="112"/>
      <c r="EC141" s="112"/>
      <c r="ED141" s="112"/>
      <c r="EE141" s="112"/>
      <c r="EF141" s="112"/>
      <c r="EG141" s="112"/>
      <c r="EH141" s="112"/>
      <c r="EI141" s="112"/>
      <c r="EJ141" s="112"/>
      <c r="EK141" s="112"/>
      <c r="EL141" s="112"/>
      <c r="EM141" s="112"/>
      <c r="EN141" s="112"/>
      <c r="EO141" s="112"/>
      <c r="EP141" s="112"/>
      <c r="EQ141" s="112"/>
      <c r="ER141" s="112"/>
      <c r="ES141" s="112"/>
      <c r="ET141" s="112"/>
      <c r="EU141" s="112"/>
      <c r="EV141" s="112"/>
      <c r="EW141" s="112"/>
      <c r="EX141" s="112"/>
      <c r="EY141" s="112"/>
      <c r="EZ141" s="112"/>
      <c r="FA141" s="112"/>
      <c r="FB141" s="112"/>
      <c r="FC141" s="112"/>
      <c r="FD141" s="112"/>
      <c r="FE141" s="112"/>
      <c r="FF141" s="112"/>
      <c r="FG141" s="112"/>
      <c r="FH141" s="112"/>
      <c r="FI141" s="112"/>
      <c r="FJ141" s="112"/>
      <c r="FK141" s="112"/>
      <c r="FL141" s="112"/>
      <c r="FM141" s="112"/>
      <c r="FN141" s="112"/>
    </row>
    <row r="142" spans="1:170" s="112" customFormat="1" ht="15.75" hidden="1" x14ac:dyDescent="0.25">
      <c r="A142" s="193" t="s">
        <v>641</v>
      </c>
      <c r="B142" s="194" t="s">
        <v>642</v>
      </c>
      <c r="C142" s="173"/>
      <c r="D142" s="173"/>
      <c r="E142" s="195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1">
        <f t="shared" si="46"/>
        <v>0</v>
      </c>
      <c r="AB142" s="172"/>
    </row>
    <row r="143" spans="1:170" s="112" customFormat="1" ht="15.75" hidden="1" x14ac:dyDescent="0.25">
      <c r="A143" s="187" t="s">
        <v>643</v>
      </c>
      <c r="B143" s="193" t="s">
        <v>644</v>
      </c>
      <c r="C143" s="173"/>
      <c r="D143" s="173"/>
      <c r="E143" s="195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1">
        <f t="shared" si="46"/>
        <v>0</v>
      </c>
      <c r="AB143" s="172"/>
    </row>
    <row r="144" spans="1:170" s="112" customFormat="1" ht="15.75" hidden="1" x14ac:dyDescent="0.25">
      <c r="A144" s="193" t="s">
        <v>645</v>
      </c>
      <c r="B144" s="194" t="s">
        <v>646</v>
      </c>
      <c r="C144" s="173"/>
      <c r="D144" s="173"/>
      <c r="E144" s="195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  <c r="AA144" s="171">
        <f t="shared" si="46"/>
        <v>0</v>
      </c>
      <c r="AB144" s="172"/>
    </row>
    <row r="145" spans="1:170" s="112" customFormat="1" ht="15.75" hidden="1" x14ac:dyDescent="0.25">
      <c r="A145" s="187" t="s">
        <v>647</v>
      </c>
      <c r="B145" s="193" t="s">
        <v>648</v>
      </c>
      <c r="C145" s="173"/>
      <c r="D145" s="173"/>
      <c r="E145" s="195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1">
        <f t="shared" si="46"/>
        <v>0</v>
      </c>
      <c r="AB145" s="172"/>
    </row>
    <row r="146" spans="1:170" s="112" customFormat="1" ht="15.75" hidden="1" x14ac:dyDescent="0.25">
      <c r="A146" s="187" t="s">
        <v>649</v>
      </c>
      <c r="B146" s="193" t="s">
        <v>650</v>
      </c>
      <c r="C146" s="173"/>
      <c r="D146" s="173"/>
      <c r="E146" s="195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  <c r="AA146" s="171">
        <f t="shared" si="46"/>
        <v>0</v>
      </c>
      <c r="AB146" s="172"/>
    </row>
    <row r="147" spans="1:170" s="112" customFormat="1" ht="15.75" hidden="1" x14ac:dyDescent="0.25">
      <c r="A147" s="187" t="s">
        <v>651</v>
      </c>
      <c r="B147" s="193" t="s">
        <v>652</v>
      </c>
      <c r="C147" s="173"/>
      <c r="D147" s="173"/>
      <c r="E147" s="195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1">
        <f t="shared" si="46"/>
        <v>0</v>
      </c>
      <c r="AB147" s="172"/>
    </row>
    <row r="148" spans="1:170" s="112" customFormat="1" ht="15.75" hidden="1" x14ac:dyDescent="0.25">
      <c r="A148" s="187" t="s">
        <v>653</v>
      </c>
      <c r="B148" s="193" t="s">
        <v>654</v>
      </c>
      <c r="C148" s="173"/>
      <c r="D148" s="173"/>
      <c r="E148" s="195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1">
        <f t="shared" si="46"/>
        <v>0</v>
      </c>
      <c r="AB148" s="172"/>
    </row>
    <row r="149" spans="1:170" s="112" customFormat="1" ht="15.75" hidden="1" x14ac:dyDescent="0.25">
      <c r="A149" s="187" t="s">
        <v>655</v>
      </c>
      <c r="B149" s="193" t="s">
        <v>656</v>
      </c>
      <c r="C149" s="173"/>
      <c r="D149" s="173"/>
      <c r="E149" s="195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1">
        <f t="shared" si="46"/>
        <v>0</v>
      </c>
      <c r="AB149" s="172"/>
    </row>
    <row r="150" spans="1:170" s="112" customFormat="1" ht="15.75" hidden="1" x14ac:dyDescent="0.25">
      <c r="A150" s="187" t="s">
        <v>657</v>
      </c>
      <c r="B150" s="193" t="s">
        <v>658</v>
      </c>
      <c r="C150" s="173"/>
      <c r="D150" s="173"/>
      <c r="E150" s="195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1">
        <f t="shared" si="46"/>
        <v>0</v>
      </c>
      <c r="AB150" s="172"/>
    </row>
    <row r="151" spans="1:170" s="112" customFormat="1" ht="15.75" hidden="1" x14ac:dyDescent="0.25">
      <c r="A151" s="193" t="s">
        <v>659</v>
      </c>
      <c r="B151" s="194" t="s">
        <v>660</v>
      </c>
      <c r="C151" s="173"/>
      <c r="D151" s="173"/>
      <c r="E151" s="195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1">
        <f t="shared" si="46"/>
        <v>0</v>
      </c>
      <c r="AB151" s="172"/>
    </row>
    <row r="152" spans="1:170" s="112" customFormat="1" ht="15.75" hidden="1" x14ac:dyDescent="0.25">
      <c r="A152" s="187" t="s">
        <v>661</v>
      </c>
      <c r="B152" s="193" t="s">
        <v>662</v>
      </c>
      <c r="C152" s="173"/>
      <c r="D152" s="173"/>
      <c r="E152" s="195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1">
        <f t="shared" si="46"/>
        <v>0</v>
      </c>
      <c r="AB152" s="172"/>
    </row>
    <row r="153" spans="1:170" s="112" customFormat="1" ht="15.75" hidden="1" x14ac:dyDescent="0.25">
      <c r="A153" s="193" t="s">
        <v>657</v>
      </c>
      <c r="B153" s="194" t="s">
        <v>663</v>
      </c>
      <c r="C153" s="173"/>
      <c r="D153" s="173"/>
      <c r="E153" s="195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1">
        <f t="shared" si="46"/>
        <v>0</v>
      </c>
      <c r="AB153" s="172"/>
    </row>
    <row r="154" spans="1:170" s="112" customFormat="1" ht="15.75" hidden="1" x14ac:dyDescent="0.25">
      <c r="A154" s="187" t="s">
        <v>661</v>
      </c>
      <c r="B154" s="187" t="s">
        <v>662</v>
      </c>
      <c r="C154" s="173"/>
      <c r="D154" s="173"/>
      <c r="E154" s="195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1">
        <f t="shared" si="46"/>
        <v>0</v>
      </c>
      <c r="AB154" s="172"/>
    </row>
    <row r="155" spans="1:170" s="112" customFormat="1" ht="15.75" hidden="1" x14ac:dyDescent="0.25">
      <c r="A155" s="192"/>
      <c r="B155" s="192"/>
      <c r="C155" s="173"/>
      <c r="D155" s="173"/>
      <c r="E155" s="195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1">
        <f t="shared" si="46"/>
        <v>0</v>
      </c>
      <c r="AB155" s="172"/>
    </row>
    <row r="156" spans="1:170" s="133" customFormat="1" ht="16.5" customHeight="1" x14ac:dyDescent="0.2">
      <c r="A156" s="158" t="s">
        <v>666</v>
      </c>
      <c r="B156" s="158" t="s">
        <v>667</v>
      </c>
      <c r="C156" s="159">
        <f t="shared" ref="C156:Z156" si="47">C157</f>
        <v>0</v>
      </c>
      <c r="D156" s="159">
        <f t="shared" si="47"/>
        <v>0</v>
      </c>
      <c r="E156" s="159">
        <f t="shared" si="47"/>
        <v>0</v>
      </c>
      <c r="F156" s="159">
        <f t="shared" si="47"/>
        <v>1100000</v>
      </c>
      <c r="G156" s="159">
        <f>G157</f>
        <v>0</v>
      </c>
      <c r="H156" s="159">
        <f t="shared" si="47"/>
        <v>0</v>
      </c>
      <c r="I156" s="159">
        <f>+I157</f>
        <v>6355000</v>
      </c>
      <c r="J156" s="159">
        <f>+J167</f>
        <v>1000000</v>
      </c>
      <c r="K156" s="159">
        <f>+K158+K160+K167+K169+K171</f>
        <v>3700000</v>
      </c>
      <c r="L156" s="159">
        <f>+L157</f>
        <v>0</v>
      </c>
      <c r="M156" s="159">
        <f>+M157</f>
        <v>0</v>
      </c>
      <c r="N156" s="159">
        <f t="shared" si="47"/>
        <v>14500000</v>
      </c>
      <c r="O156" s="159">
        <f t="shared" si="47"/>
        <v>0</v>
      </c>
      <c r="P156" s="159">
        <f>+P167</f>
        <v>0</v>
      </c>
      <c r="Q156" s="159">
        <f t="shared" si="47"/>
        <v>0</v>
      </c>
      <c r="R156" s="159">
        <v>0</v>
      </c>
      <c r="S156" s="159">
        <v>0</v>
      </c>
      <c r="T156" s="159">
        <v>0</v>
      </c>
      <c r="U156" s="159">
        <f>+U167</f>
        <v>0</v>
      </c>
      <c r="V156" s="159">
        <f t="shared" ref="V156:X156" si="48">+V167</f>
        <v>0</v>
      </c>
      <c r="W156" s="159">
        <f t="shared" si="48"/>
        <v>0</v>
      </c>
      <c r="X156" s="159">
        <f t="shared" si="48"/>
        <v>0</v>
      </c>
      <c r="Y156" s="159">
        <f t="shared" si="47"/>
        <v>203300000</v>
      </c>
      <c r="Z156" s="159">
        <f t="shared" si="47"/>
        <v>0</v>
      </c>
      <c r="AA156" s="159">
        <f t="shared" si="46"/>
        <v>229955000</v>
      </c>
      <c r="AB156" s="131">
        <f>AA156/$AA$9</f>
        <v>0.50461355652378537</v>
      </c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  <c r="BG156" s="112"/>
      <c r="BH156" s="112"/>
      <c r="BI156" s="112"/>
      <c r="BJ156" s="112"/>
      <c r="BK156" s="112"/>
      <c r="BL156" s="112"/>
      <c r="BM156" s="112"/>
      <c r="BN156" s="112"/>
      <c r="BO156" s="112"/>
      <c r="BP156" s="112"/>
      <c r="BQ156" s="112"/>
      <c r="BR156" s="112"/>
      <c r="BS156" s="112"/>
      <c r="BT156" s="112"/>
      <c r="BU156" s="112"/>
      <c r="BV156" s="112"/>
      <c r="BW156" s="112"/>
      <c r="BX156" s="112"/>
      <c r="BY156" s="112"/>
      <c r="BZ156" s="112"/>
      <c r="CA156" s="112"/>
      <c r="CB156" s="112"/>
      <c r="CC156" s="112"/>
      <c r="CD156" s="112"/>
      <c r="CE156" s="112"/>
      <c r="CF156" s="112"/>
      <c r="CG156" s="112"/>
      <c r="CH156" s="112"/>
      <c r="CI156" s="112"/>
      <c r="CJ156" s="112"/>
      <c r="CK156" s="112"/>
      <c r="CL156" s="112"/>
      <c r="CM156" s="112"/>
      <c r="CN156" s="112"/>
      <c r="CO156" s="112"/>
      <c r="CP156" s="112"/>
      <c r="CQ156" s="112"/>
      <c r="CR156" s="112"/>
      <c r="CS156" s="112"/>
      <c r="CT156" s="112"/>
      <c r="CU156" s="112"/>
      <c r="CV156" s="112"/>
      <c r="CW156" s="112"/>
      <c r="CX156" s="112"/>
      <c r="CY156" s="112"/>
      <c r="CZ156" s="112"/>
      <c r="DA156" s="112"/>
      <c r="DB156" s="112"/>
      <c r="DC156" s="112"/>
      <c r="DD156" s="112"/>
      <c r="DE156" s="112"/>
      <c r="DF156" s="112"/>
      <c r="DG156" s="112"/>
      <c r="DH156" s="112"/>
      <c r="DI156" s="112"/>
      <c r="DJ156" s="112"/>
      <c r="DK156" s="112"/>
      <c r="DL156" s="112"/>
      <c r="DM156" s="112"/>
      <c r="DN156" s="112"/>
      <c r="DO156" s="112"/>
      <c r="DP156" s="112"/>
      <c r="DQ156" s="112"/>
      <c r="DR156" s="112"/>
      <c r="DS156" s="112"/>
      <c r="DT156" s="112"/>
      <c r="DU156" s="112"/>
      <c r="DV156" s="112"/>
      <c r="DW156" s="112"/>
      <c r="DX156" s="112"/>
      <c r="DY156" s="112"/>
      <c r="DZ156" s="112"/>
      <c r="EA156" s="112"/>
      <c r="EB156" s="112"/>
      <c r="EC156" s="112"/>
      <c r="ED156" s="112"/>
      <c r="EE156" s="112"/>
      <c r="EF156" s="112"/>
      <c r="EG156" s="112"/>
      <c r="EH156" s="112"/>
      <c r="EI156" s="112"/>
      <c r="EJ156" s="112"/>
      <c r="EK156" s="112"/>
      <c r="EL156" s="112"/>
      <c r="EM156" s="112"/>
      <c r="EN156" s="112"/>
      <c r="EO156" s="112"/>
      <c r="EP156" s="112"/>
      <c r="EQ156" s="112"/>
      <c r="ER156" s="112"/>
      <c r="ES156" s="112"/>
      <c r="ET156" s="112"/>
      <c r="EU156" s="112"/>
      <c r="EV156" s="112"/>
      <c r="EW156" s="112"/>
      <c r="EX156" s="112"/>
      <c r="EY156" s="112"/>
      <c r="EZ156" s="112"/>
      <c r="FA156" s="112"/>
      <c r="FB156" s="112"/>
      <c r="FC156" s="112"/>
      <c r="FD156" s="112"/>
      <c r="FE156" s="112"/>
      <c r="FF156" s="112"/>
      <c r="FG156" s="112"/>
      <c r="FH156" s="112"/>
      <c r="FI156" s="112"/>
      <c r="FJ156" s="112"/>
      <c r="FK156" s="112"/>
      <c r="FL156" s="112"/>
      <c r="FM156" s="112"/>
      <c r="FN156" s="112"/>
    </row>
    <row r="157" spans="1:170" s="112" customFormat="1" ht="14.25" customHeight="1" x14ac:dyDescent="0.25">
      <c r="A157" s="181" t="s">
        <v>668</v>
      </c>
      <c r="B157" s="181" t="s">
        <v>669</v>
      </c>
      <c r="C157" s="180">
        <f>C158+C160+C162+C171</f>
        <v>0</v>
      </c>
      <c r="D157" s="180">
        <f>D160+D167+D162+D165+D158+D171</f>
        <v>0</v>
      </c>
      <c r="E157" s="180">
        <f>E158+E160+E162+E171+E169</f>
        <v>0</v>
      </c>
      <c r="F157" s="180">
        <f>F158+F160+F162+F171</f>
        <v>1100000</v>
      </c>
      <c r="G157" s="180">
        <f>G158+G160+G162+G171</f>
        <v>0</v>
      </c>
      <c r="H157" s="180">
        <f>H158+H160+H162+H171</f>
        <v>0</v>
      </c>
      <c r="I157" s="180">
        <f>+I160+I167</f>
        <v>6355000</v>
      </c>
      <c r="J157" s="180">
        <v>0</v>
      </c>
      <c r="K157" s="180"/>
      <c r="L157" s="180">
        <f>+L158+L160+L165+L167</f>
        <v>0</v>
      </c>
      <c r="M157" s="180">
        <f>+M158+M165+M167</f>
        <v>0</v>
      </c>
      <c r="N157" s="180">
        <f>N158+N160+N162+N171</f>
        <v>14500000</v>
      </c>
      <c r="O157" s="180">
        <f>O158+O160+O162+O171</f>
        <v>0</v>
      </c>
      <c r="P157" s="180">
        <v>0</v>
      </c>
      <c r="Q157" s="180">
        <f>Q158+Q160+Q162+Q171</f>
        <v>0</v>
      </c>
      <c r="R157" s="180">
        <v>0</v>
      </c>
      <c r="S157" s="180">
        <v>0</v>
      </c>
      <c r="T157" s="180">
        <v>0</v>
      </c>
      <c r="U157" s="180">
        <v>0</v>
      </c>
      <c r="V157" s="180">
        <v>0</v>
      </c>
      <c r="W157" s="180">
        <v>0</v>
      </c>
      <c r="X157" s="180">
        <v>0</v>
      </c>
      <c r="Y157" s="180">
        <f>Y158+Y160+Y162+Y171</f>
        <v>203300000</v>
      </c>
      <c r="Z157" s="180">
        <f>Z158+Z160+Z162+Z171</f>
        <v>0</v>
      </c>
      <c r="AA157" s="180">
        <f t="shared" si="46"/>
        <v>225255000</v>
      </c>
      <c r="AB157" s="156">
        <f>AA157/$AA$9</f>
        <v>0.4942998702996903</v>
      </c>
    </row>
    <row r="158" spans="1:170" s="124" customFormat="1" ht="15" customHeight="1" x14ac:dyDescent="0.25">
      <c r="A158" s="183" t="s">
        <v>670</v>
      </c>
      <c r="B158" s="182" t="s">
        <v>671</v>
      </c>
      <c r="C158" s="183">
        <f>C159</f>
        <v>0</v>
      </c>
      <c r="D158" s="183">
        <f>SUM(D159)</f>
        <v>0</v>
      </c>
      <c r="E158" s="183">
        <f>SUM(E159)</f>
        <v>0</v>
      </c>
      <c r="F158" s="183">
        <f>SUM(F159)</f>
        <v>0</v>
      </c>
      <c r="G158" s="183">
        <f t="shared" ref="G158:Z158" si="49">G159</f>
        <v>0</v>
      </c>
      <c r="H158" s="183">
        <f t="shared" si="49"/>
        <v>0</v>
      </c>
      <c r="I158" s="183">
        <v>0</v>
      </c>
      <c r="J158" s="183">
        <v>0</v>
      </c>
      <c r="K158" s="183">
        <f>+K159</f>
        <v>0</v>
      </c>
      <c r="L158" s="183">
        <f>+L159</f>
        <v>0</v>
      </c>
      <c r="M158" s="183">
        <f>+M159</f>
        <v>0</v>
      </c>
      <c r="N158" s="183">
        <f t="shared" si="49"/>
        <v>0</v>
      </c>
      <c r="O158" s="183">
        <f t="shared" si="49"/>
        <v>0</v>
      </c>
      <c r="P158" s="183">
        <v>0</v>
      </c>
      <c r="Q158" s="183">
        <f t="shared" si="49"/>
        <v>0</v>
      </c>
      <c r="R158" s="183">
        <v>0</v>
      </c>
      <c r="S158" s="183">
        <v>0</v>
      </c>
      <c r="T158" s="183">
        <v>0</v>
      </c>
      <c r="U158" s="183">
        <v>0</v>
      </c>
      <c r="V158" s="183">
        <v>0</v>
      </c>
      <c r="W158" s="183">
        <v>0</v>
      </c>
      <c r="X158" s="183">
        <v>0</v>
      </c>
      <c r="Y158" s="183">
        <f t="shared" si="49"/>
        <v>1500000</v>
      </c>
      <c r="Z158" s="183">
        <f t="shared" si="49"/>
        <v>0</v>
      </c>
      <c r="AA158" s="183">
        <f t="shared" si="46"/>
        <v>1500000</v>
      </c>
      <c r="AB158" s="156">
        <f>AA158/$AA$9</f>
        <v>3.2916019864133333E-3</v>
      </c>
    </row>
    <row r="159" spans="1:170" s="112" customFormat="1" ht="14.25" customHeight="1" x14ac:dyDescent="0.25">
      <c r="A159" s="173" t="s">
        <v>466</v>
      </c>
      <c r="B159" s="197" t="s">
        <v>672</v>
      </c>
      <c r="C159" s="165">
        <v>0</v>
      </c>
      <c r="D159" s="165">
        <v>0</v>
      </c>
      <c r="E159" s="165">
        <v>0</v>
      </c>
      <c r="F159" s="165">
        <v>0</v>
      </c>
      <c r="G159" s="165">
        <v>0</v>
      </c>
      <c r="H159" s="165">
        <v>0</v>
      </c>
      <c r="I159" s="165">
        <v>0</v>
      </c>
      <c r="J159" s="165">
        <v>0</v>
      </c>
      <c r="K159" s="165">
        <v>0</v>
      </c>
      <c r="L159" s="165">
        <v>0</v>
      </c>
      <c r="M159" s="165"/>
      <c r="N159" s="165">
        <v>0</v>
      </c>
      <c r="O159" s="165">
        <v>0</v>
      </c>
      <c r="P159" s="165">
        <v>0</v>
      </c>
      <c r="Q159" s="165">
        <v>0</v>
      </c>
      <c r="R159" s="165">
        <v>0</v>
      </c>
      <c r="S159" s="165">
        <v>0</v>
      </c>
      <c r="T159" s="165">
        <v>0</v>
      </c>
      <c r="U159" s="165">
        <v>0</v>
      </c>
      <c r="V159" s="165">
        <v>0</v>
      </c>
      <c r="W159" s="165">
        <v>0</v>
      </c>
      <c r="X159" s="165">
        <v>0</v>
      </c>
      <c r="Y159" s="634">
        <f>+GETPIVOTDATA("valor",Sheet1!$I$2,"rubrica","03.01.01.01.04.01","cc","Direção de Obras")</f>
        <v>1500000</v>
      </c>
      <c r="Z159" s="165">
        <v>0</v>
      </c>
      <c r="AA159" s="165">
        <f t="shared" si="46"/>
        <v>1500000</v>
      </c>
      <c r="AB159" s="146">
        <f t="shared" ref="AB159:AB172" si="50">AA159/$AA$9</f>
        <v>3.2916019864133333E-3</v>
      </c>
    </row>
    <row r="160" spans="1:170" s="124" customFormat="1" ht="15.75" x14ac:dyDescent="0.25">
      <c r="A160" s="183" t="s">
        <v>673</v>
      </c>
      <c r="B160" s="182" t="s">
        <v>674</v>
      </c>
      <c r="C160" s="183">
        <f>C161</f>
        <v>0</v>
      </c>
      <c r="D160" s="183">
        <f>SUM(D161)</f>
        <v>0</v>
      </c>
      <c r="E160" s="183">
        <f>SUM(E161)</f>
        <v>0</v>
      </c>
      <c r="F160" s="183">
        <f>SUM(F161)</f>
        <v>1100000</v>
      </c>
      <c r="G160" s="183">
        <f t="shared" ref="G160:Z160" si="51">G161</f>
        <v>0</v>
      </c>
      <c r="H160" s="183">
        <f t="shared" si="51"/>
        <v>0</v>
      </c>
      <c r="I160" s="183">
        <f>+I161</f>
        <v>6355000</v>
      </c>
      <c r="J160" s="183">
        <v>0</v>
      </c>
      <c r="K160" s="183">
        <f>+K161</f>
        <v>1700000</v>
      </c>
      <c r="L160" s="183">
        <f>+L161</f>
        <v>0</v>
      </c>
      <c r="M160" s="183">
        <v>0</v>
      </c>
      <c r="N160" s="183">
        <f t="shared" si="51"/>
        <v>14500000</v>
      </c>
      <c r="O160" s="183">
        <f t="shared" si="51"/>
        <v>0</v>
      </c>
      <c r="P160" s="183">
        <v>0</v>
      </c>
      <c r="Q160" s="183">
        <f t="shared" si="51"/>
        <v>0</v>
      </c>
      <c r="R160" s="183">
        <v>0</v>
      </c>
      <c r="S160" s="183">
        <v>0</v>
      </c>
      <c r="T160" s="183">
        <v>0</v>
      </c>
      <c r="U160" s="183">
        <v>0</v>
      </c>
      <c r="V160" s="183">
        <v>0</v>
      </c>
      <c r="W160" s="183">
        <v>0</v>
      </c>
      <c r="X160" s="183">
        <v>0</v>
      </c>
      <c r="Y160" s="183">
        <f t="shared" si="51"/>
        <v>157200000</v>
      </c>
      <c r="Z160" s="183">
        <f t="shared" si="51"/>
        <v>0</v>
      </c>
      <c r="AA160" s="183">
        <f t="shared" si="46"/>
        <v>180855000</v>
      </c>
      <c r="AB160" s="156">
        <f>AA160/$AA$9</f>
        <v>0.39686845150185562</v>
      </c>
    </row>
    <row r="161" spans="1:170" s="124" customFormat="1" ht="15.75" x14ac:dyDescent="0.25">
      <c r="A161" s="173" t="s">
        <v>471</v>
      </c>
      <c r="B161" s="197" t="s">
        <v>675</v>
      </c>
      <c r="C161" s="165">
        <v>0</v>
      </c>
      <c r="D161" s="165">
        <v>0</v>
      </c>
      <c r="E161" s="165">
        <v>0</v>
      </c>
      <c r="F161" s="634">
        <f>+GETPIVOTDATA("valor",Sheet1!$I$2,"rubrica","03.01.01.01.06.01","cc","Dir.Ambiente e Saneamento ")</f>
        <v>1100000</v>
      </c>
      <c r="G161" s="165">
        <v>0</v>
      </c>
      <c r="H161" s="165">
        <v>0</v>
      </c>
      <c r="I161" s="634">
        <f>+GETPIVOTDATA("valor",Sheet1!$I$2,"rubrica","03.01.01.01.06.01","cc","Direção de Inovação e Desporto")</f>
        <v>6355000</v>
      </c>
      <c r="J161" s="165">
        <v>0</v>
      </c>
      <c r="K161" s="634">
        <f>+GETPIVOTDATA("valor",Sheet1!$I$2,"rubrica","03.01.01.01.06.01","cc","Dir. Turismo, Investimento e Emprendedorismo")</f>
        <v>1700000</v>
      </c>
      <c r="L161" s="165">
        <v>0</v>
      </c>
      <c r="M161" s="165">
        <v>0</v>
      </c>
      <c r="N161" s="634">
        <f>+GETPIVOTDATA("valor",Sheet1!$I$2,"rubrica","03.01.01.01.06.01","cc","Direcao da Familia, Inclusão, Genero e Saúde")</f>
        <v>14500000</v>
      </c>
      <c r="O161" s="165">
        <v>0</v>
      </c>
      <c r="P161" s="165">
        <v>0</v>
      </c>
      <c r="Q161" s="165">
        <v>0</v>
      </c>
      <c r="R161" s="165">
        <v>0</v>
      </c>
      <c r="S161" s="165">
        <v>0</v>
      </c>
      <c r="T161" s="165">
        <v>0</v>
      </c>
      <c r="U161" s="165">
        <v>0</v>
      </c>
      <c r="V161" s="165">
        <v>0</v>
      </c>
      <c r="W161" s="165">
        <v>0</v>
      </c>
      <c r="X161" s="165">
        <v>0</v>
      </c>
      <c r="Y161" s="634">
        <f>+GETPIVOTDATA("valor",Sheet1!$I$2,"rubrica","03.01.01.01.06.01","cc","Direção de Obras")</f>
        <v>157200000</v>
      </c>
      <c r="Z161" s="165">
        <v>0</v>
      </c>
      <c r="AA161" s="165">
        <f t="shared" si="46"/>
        <v>180855000</v>
      </c>
      <c r="AB161" s="146">
        <f t="shared" si="50"/>
        <v>0.39686845150185562</v>
      </c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12"/>
      <c r="BM161" s="112"/>
      <c r="BN161" s="112"/>
      <c r="BO161" s="112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12"/>
      <c r="CA161" s="112"/>
      <c r="CB161" s="112"/>
      <c r="CC161" s="112"/>
      <c r="CD161" s="112"/>
      <c r="CE161" s="112"/>
      <c r="CF161" s="112"/>
      <c r="CG161" s="112"/>
      <c r="CH161" s="112"/>
      <c r="CI161" s="112"/>
      <c r="CJ161" s="112"/>
      <c r="CK161" s="112"/>
      <c r="CL161" s="112"/>
      <c r="CM161" s="112"/>
      <c r="CN161" s="112"/>
      <c r="CO161" s="112"/>
      <c r="CP161" s="112"/>
      <c r="CQ161" s="112"/>
      <c r="CR161" s="112"/>
      <c r="CS161" s="112"/>
      <c r="CT161" s="112"/>
      <c r="CU161" s="112"/>
      <c r="CV161" s="112"/>
      <c r="CW161" s="112"/>
      <c r="CX161" s="112"/>
      <c r="CY161" s="112"/>
      <c r="CZ161" s="112"/>
      <c r="DA161" s="112"/>
      <c r="DB161" s="112"/>
      <c r="DC161" s="112"/>
      <c r="DD161" s="112"/>
      <c r="DE161" s="112"/>
      <c r="DF161" s="112"/>
      <c r="DG161" s="112"/>
      <c r="DH161" s="112"/>
      <c r="DI161" s="112"/>
      <c r="DJ161" s="112"/>
      <c r="DK161" s="112"/>
      <c r="DL161" s="112"/>
      <c r="DM161" s="112"/>
      <c r="DN161" s="112"/>
      <c r="DO161" s="112"/>
      <c r="DP161" s="112"/>
      <c r="DQ161" s="112"/>
      <c r="DR161" s="112"/>
      <c r="DS161" s="112"/>
      <c r="DT161" s="112"/>
      <c r="DU161" s="112"/>
      <c r="DV161" s="112"/>
      <c r="DW161" s="112"/>
      <c r="DX161" s="112"/>
      <c r="DY161" s="112"/>
      <c r="DZ161" s="112"/>
      <c r="EA161" s="112"/>
      <c r="EB161" s="112"/>
      <c r="EC161" s="112"/>
      <c r="ED161" s="112"/>
      <c r="EE161" s="112"/>
      <c r="EF161" s="112"/>
      <c r="EG161" s="112"/>
      <c r="EH161" s="112"/>
      <c r="EI161" s="112"/>
      <c r="EJ161" s="112"/>
      <c r="EK161" s="112"/>
      <c r="EL161" s="112"/>
      <c r="EM161" s="112"/>
      <c r="EN161" s="112"/>
      <c r="EO161" s="112"/>
      <c r="EP161" s="112"/>
      <c r="EQ161" s="112"/>
      <c r="ER161" s="112"/>
      <c r="ES161" s="112"/>
      <c r="ET161" s="112"/>
      <c r="EU161" s="112"/>
      <c r="EV161" s="112"/>
      <c r="EW161" s="112"/>
      <c r="EX161" s="112"/>
      <c r="EY161" s="112"/>
      <c r="EZ161" s="112"/>
      <c r="FA161" s="112"/>
      <c r="FB161" s="112"/>
      <c r="FC161" s="112"/>
      <c r="FD161" s="112"/>
      <c r="FE161" s="112"/>
      <c r="FF161" s="112"/>
      <c r="FG161" s="112"/>
      <c r="FH161" s="112"/>
      <c r="FI161" s="112"/>
      <c r="FJ161" s="112"/>
      <c r="FK161" s="112"/>
      <c r="FL161" s="112"/>
      <c r="FM161" s="112"/>
      <c r="FN161" s="112"/>
    </row>
    <row r="162" spans="1:170" s="124" customFormat="1" ht="15.75" x14ac:dyDescent="0.25">
      <c r="A162" s="183" t="s">
        <v>676</v>
      </c>
      <c r="B162" s="182" t="s">
        <v>677</v>
      </c>
      <c r="C162" s="183">
        <f t="shared" ref="C162:Z162" si="52">C165+C167</f>
        <v>0</v>
      </c>
      <c r="D162" s="183">
        <f t="shared" si="52"/>
        <v>0</v>
      </c>
      <c r="E162" s="183">
        <f>E165+E167+E163</f>
        <v>0</v>
      </c>
      <c r="F162" s="183">
        <f>F165+F167+F164</f>
        <v>0</v>
      </c>
      <c r="G162" s="183">
        <f t="shared" si="52"/>
        <v>0</v>
      </c>
      <c r="H162" s="183">
        <f t="shared" si="52"/>
        <v>0</v>
      </c>
      <c r="I162" s="183">
        <v>0</v>
      </c>
      <c r="J162" s="183">
        <v>0</v>
      </c>
      <c r="K162" s="183">
        <f>+K163+K164</f>
        <v>0</v>
      </c>
      <c r="L162" s="183">
        <v>0</v>
      </c>
      <c r="M162" s="183">
        <v>0</v>
      </c>
      <c r="N162" s="183">
        <f t="shared" si="52"/>
        <v>0</v>
      </c>
      <c r="O162" s="183">
        <f t="shared" si="52"/>
        <v>0</v>
      </c>
      <c r="P162" s="183">
        <v>0</v>
      </c>
      <c r="Q162" s="183">
        <f t="shared" si="52"/>
        <v>0</v>
      </c>
      <c r="R162" s="183">
        <v>0</v>
      </c>
      <c r="S162" s="183">
        <v>0</v>
      </c>
      <c r="T162" s="183">
        <v>0</v>
      </c>
      <c r="U162" s="183">
        <v>0</v>
      </c>
      <c r="V162" s="183">
        <v>0</v>
      </c>
      <c r="W162" s="183">
        <v>0</v>
      </c>
      <c r="X162" s="183">
        <v>0</v>
      </c>
      <c r="Y162" s="183">
        <f>Y165+Y167+Y163</f>
        <v>44600000</v>
      </c>
      <c r="Z162" s="183">
        <f t="shared" si="52"/>
        <v>0</v>
      </c>
      <c r="AA162" s="183">
        <f t="shared" si="46"/>
        <v>44600000</v>
      </c>
      <c r="AB162" s="156">
        <f>AA162/$AA$9</f>
        <v>9.7870299062689778E-2</v>
      </c>
    </row>
    <row r="163" spans="1:170" s="112" customFormat="1" ht="15.75" x14ac:dyDescent="0.25">
      <c r="A163" s="173" t="s">
        <v>678</v>
      </c>
      <c r="B163" s="197" t="s">
        <v>679</v>
      </c>
      <c r="C163" s="173">
        <v>0</v>
      </c>
      <c r="D163" s="173">
        <v>0</v>
      </c>
      <c r="E163" s="173"/>
      <c r="F163" s="173">
        <v>0</v>
      </c>
      <c r="G163" s="173">
        <v>0</v>
      </c>
      <c r="H163" s="173">
        <v>0</v>
      </c>
      <c r="I163" s="173">
        <v>0</v>
      </c>
      <c r="J163" s="173">
        <v>0</v>
      </c>
      <c r="K163" s="173">
        <v>0</v>
      </c>
      <c r="L163" s="173">
        <v>0</v>
      </c>
      <c r="M163" s="173">
        <v>0</v>
      </c>
      <c r="N163" s="173">
        <v>0</v>
      </c>
      <c r="O163" s="173">
        <v>0</v>
      </c>
      <c r="P163" s="173">
        <v>0</v>
      </c>
      <c r="Q163" s="173">
        <v>0</v>
      </c>
      <c r="R163" s="173">
        <v>0</v>
      </c>
      <c r="S163" s="173">
        <v>0</v>
      </c>
      <c r="T163" s="173">
        <v>0</v>
      </c>
      <c r="U163" s="173">
        <v>0</v>
      </c>
      <c r="V163" s="173">
        <v>0</v>
      </c>
      <c r="W163" s="173">
        <v>0</v>
      </c>
      <c r="X163" s="173">
        <v>0</v>
      </c>
      <c r="Y163" s="635">
        <f>+GETPIVOTDATA("valor",Sheet1!$I$2,"rubrica","03.01.01.02..01.03.01","cc","Direção de Obras")</f>
        <v>2800000</v>
      </c>
      <c r="Z163" s="173">
        <v>0</v>
      </c>
      <c r="AA163" s="173">
        <f t="shared" si="46"/>
        <v>2800000</v>
      </c>
      <c r="AB163" s="152">
        <f>AA163/$AA$9</f>
        <v>6.1443237079715557E-3</v>
      </c>
    </row>
    <row r="164" spans="1:170" s="112" customFormat="1" ht="15.75" x14ac:dyDescent="0.25">
      <c r="A164" s="173" t="s">
        <v>678</v>
      </c>
      <c r="B164" s="197" t="s">
        <v>680</v>
      </c>
      <c r="C164" s="173">
        <v>0</v>
      </c>
      <c r="D164" s="173">
        <v>0</v>
      </c>
      <c r="E164" s="173">
        <v>0</v>
      </c>
      <c r="F164" s="173">
        <v>0</v>
      </c>
      <c r="G164" s="173">
        <v>0</v>
      </c>
      <c r="H164" s="173">
        <v>0</v>
      </c>
      <c r="I164" s="173">
        <v>0</v>
      </c>
      <c r="J164" s="173">
        <v>0</v>
      </c>
      <c r="K164" s="173">
        <v>0</v>
      </c>
      <c r="L164" s="173">
        <v>0</v>
      </c>
      <c r="M164" s="173">
        <v>0</v>
      </c>
      <c r="N164" s="173">
        <v>0</v>
      </c>
      <c r="O164" s="173">
        <v>0</v>
      </c>
      <c r="P164" s="173">
        <v>0</v>
      </c>
      <c r="Q164" s="173">
        <v>0</v>
      </c>
      <c r="R164" s="173">
        <v>0</v>
      </c>
      <c r="S164" s="173">
        <v>0</v>
      </c>
      <c r="T164" s="173">
        <v>0</v>
      </c>
      <c r="U164" s="173">
        <v>0</v>
      </c>
      <c r="V164" s="173">
        <v>0</v>
      </c>
      <c r="W164" s="173">
        <v>0</v>
      </c>
      <c r="X164" s="173">
        <v>0</v>
      </c>
      <c r="Y164" s="173">
        <v>0</v>
      </c>
      <c r="Z164" s="173">
        <v>0</v>
      </c>
      <c r="AA164" s="173">
        <f t="shared" si="46"/>
        <v>0</v>
      </c>
      <c r="AB164" s="152">
        <f>AA164/$AA$9</f>
        <v>0</v>
      </c>
    </row>
    <row r="165" spans="1:170" s="124" customFormat="1" ht="15.75" x14ac:dyDescent="0.25">
      <c r="A165" s="183" t="s">
        <v>681</v>
      </c>
      <c r="B165" s="182" t="s">
        <v>682</v>
      </c>
      <c r="C165" s="183">
        <f>C166</f>
        <v>0</v>
      </c>
      <c r="D165" s="183">
        <f>SUM(D166)</f>
        <v>0</v>
      </c>
      <c r="E165" s="183">
        <f>SUM(E166)</f>
        <v>0</v>
      </c>
      <c r="F165" s="183">
        <f>SUM(F166)</f>
        <v>0</v>
      </c>
      <c r="G165" s="183">
        <f t="shared" ref="G165:Z165" si="53">G166</f>
        <v>0</v>
      </c>
      <c r="H165" s="183">
        <f t="shared" si="53"/>
        <v>0</v>
      </c>
      <c r="I165" s="183">
        <v>0</v>
      </c>
      <c r="J165" s="183">
        <v>0</v>
      </c>
      <c r="K165" s="183">
        <f>+K166</f>
        <v>0</v>
      </c>
      <c r="L165" s="183">
        <f>+L166</f>
        <v>0</v>
      </c>
      <c r="M165" s="183">
        <f>+M166</f>
        <v>0</v>
      </c>
      <c r="N165" s="183">
        <f t="shared" si="53"/>
        <v>0</v>
      </c>
      <c r="O165" s="183">
        <f t="shared" si="53"/>
        <v>0</v>
      </c>
      <c r="P165" s="183">
        <v>0</v>
      </c>
      <c r="Q165" s="183">
        <f t="shared" si="53"/>
        <v>0</v>
      </c>
      <c r="R165" s="183">
        <v>0</v>
      </c>
      <c r="S165" s="183">
        <v>0</v>
      </c>
      <c r="T165" s="183">
        <v>0</v>
      </c>
      <c r="U165" s="183">
        <v>0</v>
      </c>
      <c r="V165" s="183">
        <v>0</v>
      </c>
      <c r="W165" s="183">
        <v>0</v>
      </c>
      <c r="X165" s="183">
        <v>0</v>
      </c>
      <c r="Y165" s="183">
        <f t="shared" si="53"/>
        <v>0</v>
      </c>
      <c r="Z165" s="183">
        <f t="shared" si="53"/>
        <v>0</v>
      </c>
      <c r="AA165" s="183">
        <f t="shared" si="46"/>
        <v>0</v>
      </c>
      <c r="AB165" s="156">
        <f>AA165/$AA$9</f>
        <v>0</v>
      </c>
    </row>
    <row r="166" spans="1:170" s="124" customFormat="1" ht="25.5" customHeight="1" x14ac:dyDescent="0.25">
      <c r="A166" s="173" t="s">
        <v>683</v>
      </c>
      <c r="B166" s="198" t="s">
        <v>684</v>
      </c>
      <c r="C166" s="144">
        <v>0</v>
      </c>
      <c r="D166" s="144">
        <v>0</v>
      </c>
      <c r="E166" s="144">
        <v>0</v>
      </c>
      <c r="F166" s="144">
        <v>0</v>
      </c>
      <c r="G166" s="144">
        <v>0</v>
      </c>
      <c r="H166" s="144">
        <v>0</v>
      </c>
      <c r="I166" s="144">
        <v>0</v>
      </c>
      <c r="J166" s="144">
        <v>0</v>
      </c>
      <c r="K166" s="144">
        <v>0</v>
      </c>
      <c r="L166" s="144">
        <v>0</v>
      </c>
      <c r="M166" s="144">
        <v>0</v>
      </c>
      <c r="N166" s="144">
        <v>0</v>
      </c>
      <c r="O166" s="144">
        <v>0</v>
      </c>
      <c r="P166" s="144">
        <v>0</v>
      </c>
      <c r="Q166" s="144">
        <v>0</v>
      </c>
      <c r="R166" s="144">
        <v>0</v>
      </c>
      <c r="S166" s="144">
        <v>0</v>
      </c>
      <c r="T166" s="144">
        <v>0</v>
      </c>
      <c r="U166" s="144">
        <v>0</v>
      </c>
      <c r="V166" s="144">
        <v>0</v>
      </c>
      <c r="W166" s="144">
        <v>0</v>
      </c>
      <c r="X166" s="144"/>
      <c r="Y166" s="144">
        <v>0</v>
      </c>
      <c r="Z166" s="144">
        <v>0</v>
      </c>
      <c r="AA166" s="165">
        <f t="shared" si="46"/>
        <v>0</v>
      </c>
      <c r="AB166" s="146">
        <f t="shared" si="50"/>
        <v>0</v>
      </c>
      <c r="AC166" s="112"/>
      <c r="AD166" s="112"/>
      <c r="AE166" s="112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  <c r="AT166" s="112"/>
      <c r="AU166" s="112"/>
      <c r="AV166" s="112"/>
      <c r="AW166" s="112"/>
      <c r="AX166" s="112"/>
      <c r="AY166" s="112"/>
      <c r="AZ166" s="112"/>
      <c r="BA166" s="112"/>
      <c r="BB166" s="112"/>
      <c r="BC166" s="112"/>
      <c r="BD166" s="112"/>
      <c r="BE166" s="112"/>
      <c r="BF166" s="112"/>
      <c r="BG166" s="112"/>
      <c r="BH166" s="112"/>
      <c r="BI166" s="112"/>
      <c r="BJ166" s="112"/>
      <c r="BK166" s="112"/>
      <c r="BL166" s="112"/>
      <c r="BM166" s="112"/>
      <c r="BN166" s="112"/>
      <c r="BO166" s="112"/>
      <c r="BP166" s="112"/>
      <c r="BQ166" s="112"/>
      <c r="BR166" s="112"/>
      <c r="BS166" s="112"/>
      <c r="BT166" s="112"/>
      <c r="BU166" s="112"/>
      <c r="BV166" s="112"/>
      <c r="BW166" s="112"/>
      <c r="BX166" s="112"/>
      <c r="BY166" s="112"/>
      <c r="BZ166" s="112"/>
      <c r="CA166" s="112"/>
      <c r="CB166" s="112"/>
      <c r="CC166" s="112"/>
      <c r="CD166" s="112"/>
      <c r="CE166" s="112"/>
      <c r="CF166" s="112"/>
      <c r="CG166" s="112"/>
      <c r="CH166" s="112"/>
      <c r="CI166" s="112"/>
      <c r="CJ166" s="112"/>
      <c r="CK166" s="112"/>
      <c r="CL166" s="112"/>
      <c r="CM166" s="112"/>
      <c r="CN166" s="112"/>
      <c r="CO166" s="112"/>
      <c r="CP166" s="112"/>
      <c r="CQ166" s="112"/>
      <c r="CR166" s="112"/>
      <c r="CS166" s="112"/>
      <c r="CT166" s="112"/>
      <c r="CU166" s="112"/>
      <c r="CV166" s="112"/>
      <c r="CW166" s="112"/>
      <c r="CX166" s="112"/>
      <c r="CY166" s="112"/>
      <c r="CZ166" s="112"/>
      <c r="DA166" s="112"/>
      <c r="DB166" s="112"/>
      <c r="DC166" s="112"/>
      <c r="DD166" s="112"/>
      <c r="DE166" s="112"/>
      <c r="DF166" s="112"/>
      <c r="DG166" s="112"/>
      <c r="DH166" s="112"/>
      <c r="DI166" s="112"/>
      <c r="DJ166" s="112"/>
      <c r="DK166" s="112"/>
      <c r="DL166" s="112"/>
      <c r="DM166" s="112"/>
      <c r="DN166" s="112"/>
      <c r="DO166" s="112"/>
      <c r="DP166" s="112"/>
      <c r="DQ166" s="112"/>
      <c r="DR166" s="112"/>
      <c r="DS166" s="112"/>
      <c r="DT166" s="112"/>
      <c r="DU166" s="112"/>
      <c r="DV166" s="112"/>
      <c r="DW166" s="112"/>
      <c r="DX166" s="112"/>
      <c r="DY166" s="112"/>
      <c r="DZ166" s="112"/>
      <c r="EA166" s="112"/>
      <c r="EB166" s="112"/>
      <c r="EC166" s="112"/>
      <c r="ED166" s="112"/>
      <c r="EE166" s="112"/>
      <c r="EF166" s="112"/>
      <c r="EG166" s="112"/>
      <c r="EH166" s="112"/>
      <c r="EI166" s="112"/>
      <c r="EJ166" s="112"/>
      <c r="EK166" s="112"/>
      <c r="EL166" s="112"/>
      <c r="EM166" s="112"/>
      <c r="EN166" s="112"/>
      <c r="EO166" s="112"/>
      <c r="EP166" s="112"/>
      <c r="EQ166" s="112"/>
      <c r="ER166" s="112"/>
      <c r="ES166" s="112"/>
      <c r="ET166" s="112"/>
      <c r="EU166" s="112"/>
      <c r="EV166" s="112"/>
      <c r="EW166" s="112"/>
      <c r="EX166" s="112"/>
      <c r="EY166" s="112"/>
      <c r="EZ166" s="112"/>
      <c r="FA166" s="112"/>
      <c r="FB166" s="112"/>
      <c r="FC166" s="112"/>
      <c r="FD166" s="112"/>
      <c r="FE166" s="112"/>
      <c r="FF166" s="112"/>
      <c r="FG166" s="112"/>
      <c r="FH166" s="112"/>
      <c r="FI166" s="112"/>
      <c r="FJ166" s="112"/>
      <c r="FK166" s="112"/>
      <c r="FL166" s="112"/>
      <c r="FM166" s="112"/>
      <c r="FN166" s="112"/>
    </row>
    <row r="167" spans="1:170" s="124" customFormat="1" ht="29.25" customHeight="1" x14ac:dyDescent="0.25">
      <c r="A167" s="183" t="s">
        <v>685</v>
      </c>
      <c r="B167" s="199" t="s">
        <v>686</v>
      </c>
      <c r="C167" s="183">
        <f>C168</f>
        <v>0</v>
      </c>
      <c r="D167" s="183">
        <f>SUM(D168)</f>
        <v>0</v>
      </c>
      <c r="E167" s="183">
        <f>SUM(E168)</f>
        <v>0</v>
      </c>
      <c r="F167" s="183">
        <f>SUM(F168)</f>
        <v>0</v>
      </c>
      <c r="G167" s="183">
        <f t="shared" ref="G167:Z167" si="54">G168</f>
        <v>0</v>
      </c>
      <c r="H167" s="183">
        <f t="shared" si="54"/>
        <v>0</v>
      </c>
      <c r="I167" s="183">
        <f>+I168</f>
        <v>0</v>
      </c>
      <c r="J167" s="183">
        <f>+J168</f>
        <v>1000000</v>
      </c>
      <c r="K167" s="183">
        <f>+K168</f>
        <v>0</v>
      </c>
      <c r="L167" s="183">
        <f>+L168</f>
        <v>0</v>
      </c>
      <c r="M167" s="183">
        <f>+M168</f>
        <v>0</v>
      </c>
      <c r="N167" s="183">
        <f t="shared" si="54"/>
        <v>0</v>
      </c>
      <c r="O167" s="183">
        <f t="shared" si="54"/>
        <v>0</v>
      </c>
      <c r="P167" s="183">
        <f>+P168</f>
        <v>0</v>
      </c>
      <c r="Q167" s="183">
        <f t="shared" si="54"/>
        <v>0</v>
      </c>
      <c r="R167" s="183">
        <v>0</v>
      </c>
      <c r="S167" s="183">
        <v>0</v>
      </c>
      <c r="T167" s="183">
        <v>0</v>
      </c>
      <c r="U167" s="183">
        <f>+U168</f>
        <v>0</v>
      </c>
      <c r="V167" s="183">
        <f t="shared" ref="V167:X167" si="55">+V168</f>
        <v>0</v>
      </c>
      <c r="W167" s="183">
        <f t="shared" si="55"/>
        <v>0</v>
      </c>
      <c r="X167" s="183">
        <f t="shared" si="55"/>
        <v>0</v>
      </c>
      <c r="Y167" s="183">
        <f t="shared" si="54"/>
        <v>41800000</v>
      </c>
      <c r="Z167" s="183">
        <f t="shared" si="54"/>
        <v>0</v>
      </c>
      <c r="AA167" s="183">
        <f t="shared" si="46"/>
        <v>42800000</v>
      </c>
      <c r="AB167" s="186">
        <f t="shared" si="50"/>
        <v>9.3920376678993778E-2</v>
      </c>
    </row>
    <row r="168" spans="1:170" s="112" customFormat="1" ht="29.25" customHeight="1" x14ac:dyDescent="0.25">
      <c r="A168" s="193" t="s">
        <v>487</v>
      </c>
      <c r="B168" s="200" t="s">
        <v>687</v>
      </c>
      <c r="C168" s="144">
        <v>0</v>
      </c>
      <c r="D168" s="144">
        <v>0</v>
      </c>
      <c r="E168" s="144">
        <v>0</v>
      </c>
      <c r="F168" s="144"/>
      <c r="G168" s="144"/>
      <c r="H168" s="144"/>
      <c r="I168" s="144">
        <v>0</v>
      </c>
      <c r="J168" s="633">
        <f>+GETPIVOTDATA("valor",Sheet1!$I$2,"rubrica","03.01.01.02.04.01","cc","Dir. do Comércio, Indústria, Transporte Feiras e Pesca")</f>
        <v>1000000</v>
      </c>
      <c r="K168" s="144"/>
      <c r="L168" s="144"/>
      <c r="M168" s="144">
        <v>0</v>
      </c>
      <c r="N168" s="144">
        <v>0</v>
      </c>
      <c r="O168" s="144">
        <v>0</v>
      </c>
      <c r="P168" s="144">
        <v>0</v>
      </c>
      <c r="Q168" s="144">
        <v>0</v>
      </c>
      <c r="R168" s="144">
        <v>0</v>
      </c>
      <c r="S168" s="144">
        <v>0</v>
      </c>
      <c r="T168" s="144">
        <v>0</v>
      </c>
      <c r="U168" s="149"/>
      <c r="V168" s="144">
        <v>0</v>
      </c>
      <c r="W168" s="144">
        <v>0</v>
      </c>
      <c r="X168" s="144">
        <v>0</v>
      </c>
      <c r="Y168" s="633">
        <f>+GETPIVOTDATA("valor",Sheet1!$I$2,"rubrica","03.01.01.02.04.01","cc","Direção de Obras")</f>
        <v>41800000</v>
      </c>
      <c r="Z168" s="173">
        <v>0</v>
      </c>
      <c r="AA168" s="174">
        <f t="shared" si="46"/>
        <v>42800000</v>
      </c>
      <c r="AB168" s="146">
        <f t="shared" si="50"/>
        <v>9.3920376678993778E-2</v>
      </c>
    </row>
    <row r="169" spans="1:170" s="124" customFormat="1" ht="16.5" customHeight="1" x14ac:dyDescent="0.25">
      <c r="A169" s="190" t="s">
        <v>688</v>
      </c>
      <c r="B169" s="190" t="s">
        <v>689</v>
      </c>
      <c r="C169" s="183">
        <f t="shared" ref="C169:Z169" si="56">+C170</f>
        <v>0</v>
      </c>
      <c r="D169" s="183">
        <f t="shared" si="56"/>
        <v>0</v>
      </c>
      <c r="E169" s="183">
        <f t="shared" si="56"/>
        <v>0</v>
      </c>
      <c r="F169" s="183">
        <f t="shared" si="56"/>
        <v>0</v>
      </c>
      <c r="G169" s="183">
        <f t="shared" si="56"/>
        <v>0</v>
      </c>
      <c r="H169" s="183">
        <f t="shared" si="56"/>
        <v>0</v>
      </c>
      <c r="I169" s="183">
        <v>0</v>
      </c>
      <c r="J169" s="183">
        <v>0</v>
      </c>
      <c r="K169" s="183">
        <f>+K170</f>
        <v>0</v>
      </c>
      <c r="L169" s="183">
        <v>0</v>
      </c>
      <c r="M169" s="183">
        <f>+M170</f>
        <v>0</v>
      </c>
      <c r="N169" s="183">
        <f t="shared" si="56"/>
        <v>0</v>
      </c>
      <c r="O169" s="183">
        <f t="shared" si="56"/>
        <v>0</v>
      </c>
      <c r="P169" s="183">
        <v>0</v>
      </c>
      <c r="Q169" s="183">
        <f t="shared" si="56"/>
        <v>0</v>
      </c>
      <c r="R169" s="183">
        <v>0</v>
      </c>
      <c r="S169" s="183">
        <v>0</v>
      </c>
      <c r="T169" s="183">
        <v>0</v>
      </c>
      <c r="U169" s="201">
        <v>0</v>
      </c>
      <c r="V169" s="183">
        <v>0</v>
      </c>
      <c r="W169" s="183">
        <v>0</v>
      </c>
      <c r="X169" s="183">
        <v>0</v>
      </c>
      <c r="Y169" s="183">
        <f t="shared" si="56"/>
        <v>0</v>
      </c>
      <c r="Z169" s="183">
        <f t="shared" si="56"/>
        <v>0</v>
      </c>
      <c r="AA169" s="171">
        <f t="shared" si="46"/>
        <v>0</v>
      </c>
      <c r="AB169" s="186">
        <f t="shared" si="50"/>
        <v>0</v>
      </c>
    </row>
    <row r="170" spans="1:170" s="112" customFormat="1" ht="27" customHeight="1" x14ac:dyDescent="0.25">
      <c r="A170" s="193" t="s">
        <v>690</v>
      </c>
      <c r="B170" s="200" t="s">
        <v>691</v>
      </c>
      <c r="C170" s="173">
        <v>0</v>
      </c>
      <c r="D170" s="173">
        <v>0</v>
      </c>
      <c r="E170" s="173">
        <v>0</v>
      </c>
      <c r="F170" s="173">
        <v>0</v>
      </c>
      <c r="G170" s="173">
        <v>0</v>
      </c>
      <c r="H170" s="173">
        <v>0</v>
      </c>
      <c r="I170" s="173">
        <v>0</v>
      </c>
      <c r="J170" s="173">
        <v>0</v>
      </c>
      <c r="K170" s="173">
        <v>0</v>
      </c>
      <c r="L170" s="173">
        <v>0</v>
      </c>
      <c r="M170" s="173">
        <v>0</v>
      </c>
      <c r="N170" s="173">
        <v>0</v>
      </c>
      <c r="O170" s="173">
        <v>0</v>
      </c>
      <c r="P170" s="173">
        <v>0</v>
      </c>
      <c r="Q170" s="173">
        <v>0</v>
      </c>
      <c r="R170" s="173">
        <v>0</v>
      </c>
      <c r="S170" s="173">
        <v>0</v>
      </c>
      <c r="T170" s="173">
        <v>0</v>
      </c>
      <c r="U170" s="202">
        <v>0</v>
      </c>
      <c r="V170" s="173">
        <v>0</v>
      </c>
      <c r="W170" s="173">
        <v>0</v>
      </c>
      <c r="X170" s="173">
        <v>0</v>
      </c>
      <c r="Y170" s="173">
        <v>0</v>
      </c>
      <c r="Z170" s="173">
        <v>0</v>
      </c>
      <c r="AA170" s="174">
        <f t="shared" si="46"/>
        <v>0</v>
      </c>
      <c r="AB170" s="146">
        <f t="shared" si="50"/>
        <v>0</v>
      </c>
    </row>
    <row r="171" spans="1:170" s="124" customFormat="1" ht="18.75" customHeight="1" x14ac:dyDescent="0.25">
      <c r="A171" s="190" t="s">
        <v>692</v>
      </c>
      <c r="B171" s="190" t="s">
        <v>693</v>
      </c>
      <c r="C171" s="183">
        <f t="shared" ref="C171:Z171" si="57">C172</f>
        <v>0</v>
      </c>
      <c r="D171" s="183">
        <f t="shared" si="57"/>
        <v>0</v>
      </c>
      <c r="E171" s="183">
        <f t="shared" si="57"/>
        <v>0</v>
      </c>
      <c r="F171" s="183">
        <f t="shared" si="57"/>
        <v>0</v>
      </c>
      <c r="G171" s="183">
        <f t="shared" si="57"/>
        <v>0</v>
      </c>
      <c r="H171" s="183">
        <f t="shared" si="57"/>
        <v>0</v>
      </c>
      <c r="I171" s="183">
        <v>0</v>
      </c>
      <c r="J171" s="183">
        <v>0</v>
      </c>
      <c r="K171" s="183">
        <f>+K172</f>
        <v>2000000</v>
      </c>
      <c r="L171" s="183">
        <v>0</v>
      </c>
      <c r="M171" s="183">
        <f>+M172</f>
        <v>0</v>
      </c>
      <c r="N171" s="183">
        <f t="shared" si="57"/>
        <v>0</v>
      </c>
      <c r="O171" s="183">
        <f t="shared" si="57"/>
        <v>0</v>
      </c>
      <c r="P171" s="183">
        <v>0</v>
      </c>
      <c r="Q171" s="183">
        <f t="shared" si="57"/>
        <v>0</v>
      </c>
      <c r="R171" s="183">
        <v>0</v>
      </c>
      <c r="S171" s="183">
        <v>0</v>
      </c>
      <c r="T171" s="183">
        <v>0</v>
      </c>
      <c r="U171" s="201">
        <v>0</v>
      </c>
      <c r="V171" s="183">
        <v>0</v>
      </c>
      <c r="W171" s="183">
        <v>0</v>
      </c>
      <c r="X171" s="183">
        <v>0</v>
      </c>
      <c r="Y171" s="183">
        <f t="shared" si="57"/>
        <v>0</v>
      </c>
      <c r="Z171" s="183">
        <f t="shared" si="57"/>
        <v>0</v>
      </c>
      <c r="AA171" s="171">
        <f t="shared" si="46"/>
        <v>2000000</v>
      </c>
      <c r="AB171" s="186">
        <f t="shared" si="50"/>
        <v>4.3888026485511111E-3</v>
      </c>
    </row>
    <row r="172" spans="1:170" s="112" customFormat="1" ht="29.25" customHeight="1" x14ac:dyDescent="0.25">
      <c r="A172" s="193" t="s">
        <v>502</v>
      </c>
      <c r="B172" s="200" t="s">
        <v>694</v>
      </c>
      <c r="C172" s="173">
        <v>0</v>
      </c>
      <c r="D172" s="173">
        <v>0</v>
      </c>
      <c r="E172" s="173">
        <v>0</v>
      </c>
      <c r="F172" s="173"/>
      <c r="G172" s="173">
        <v>0</v>
      </c>
      <c r="H172" s="173">
        <v>0</v>
      </c>
      <c r="I172" s="173">
        <v>0</v>
      </c>
      <c r="J172" s="173">
        <v>0</v>
      </c>
      <c r="K172" s="635">
        <f>+GETPIVOTDATA("valor",Sheet1!$I$2,"rubrica","03.01.04.04.02.01","cc","Dir. Turismo, Investimento e Emprendedorismo")</f>
        <v>2000000</v>
      </c>
      <c r="L172" s="173">
        <v>0</v>
      </c>
      <c r="M172" s="173">
        <v>0</v>
      </c>
      <c r="N172" s="173">
        <v>0</v>
      </c>
      <c r="O172" s="173">
        <v>0</v>
      </c>
      <c r="P172" s="173">
        <v>0</v>
      </c>
      <c r="Q172" s="173">
        <v>0</v>
      </c>
      <c r="R172" s="173">
        <v>0</v>
      </c>
      <c r="S172" s="173">
        <v>0</v>
      </c>
      <c r="T172" s="173">
        <v>0</v>
      </c>
      <c r="U172" s="202">
        <v>0</v>
      </c>
      <c r="V172" s="173">
        <v>0</v>
      </c>
      <c r="W172" s="173">
        <v>0</v>
      </c>
      <c r="X172" s="173">
        <v>0</v>
      </c>
      <c r="Y172" s="173">
        <v>0</v>
      </c>
      <c r="Z172" s="173">
        <v>0</v>
      </c>
      <c r="AA172" s="174">
        <f t="shared" si="46"/>
        <v>2000000</v>
      </c>
      <c r="AB172" s="146">
        <f t="shared" si="50"/>
        <v>4.3888026485511111E-3</v>
      </c>
    </row>
    <row r="173" spans="1:170" s="112" customFormat="1" ht="16.5" customHeight="1" x14ac:dyDescent="0.25">
      <c r="A173" s="203"/>
      <c r="B173" s="203"/>
      <c r="C173" s="204"/>
      <c r="D173" s="204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5"/>
      <c r="AB173" s="206"/>
    </row>
    <row r="174" spans="1:170" s="133" customFormat="1" ht="7.5" customHeight="1" x14ac:dyDescent="0.25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170" s="133" customFormat="1" ht="15.6" customHeight="1" x14ac:dyDescent="0.25">
      <c r="A175" s="670" t="s">
        <v>695</v>
      </c>
      <c r="B175" s="670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</row>
    <row r="176" spans="1:170" s="133" customFormat="1" ht="15" customHeight="1" x14ac:dyDescent="0.25">
      <c r="A176" s="207"/>
      <c r="B176" s="89"/>
      <c r="C176" s="89"/>
      <c r="D176" s="89"/>
      <c r="E176" s="89"/>
      <c r="F176" s="208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208"/>
      <c r="R176" s="208"/>
      <c r="S176" s="208"/>
      <c r="T176" s="208"/>
      <c r="U176" s="208"/>
      <c r="V176" s="208"/>
      <c r="W176" s="208"/>
      <c r="X176" s="208"/>
      <c r="Y176" s="209"/>
      <c r="Z176" s="89"/>
      <c r="AA176" s="208"/>
      <c r="AB176" s="89"/>
    </row>
    <row r="177" spans="1:28" s="133" customFormat="1" ht="18" customHeight="1" x14ac:dyDescent="0.25">
      <c r="A177" s="91" t="s">
        <v>377</v>
      </c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210"/>
      <c r="AA177" s="91"/>
      <c r="AB177" s="91"/>
    </row>
    <row r="178" spans="1:28" s="112" customFormat="1" ht="15" x14ac:dyDescent="0.25">
      <c r="A178" s="211" t="s">
        <v>378</v>
      </c>
      <c r="B178" s="211"/>
      <c r="C178" s="211"/>
      <c r="D178" s="211"/>
      <c r="E178" s="211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211"/>
      <c r="U178" s="211"/>
      <c r="V178" s="211"/>
      <c r="W178" s="211"/>
      <c r="X178" s="211"/>
      <c r="Y178" s="211"/>
      <c r="Z178" s="211"/>
      <c r="AA178" s="211"/>
      <c r="AB178" s="211"/>
    </row>
    <row r="179" spans="1:28" s="112" customFormat="1" ht="12" customHeight="1" x14ac:dyDescent="0.2">
      <c r="A179" s="212" t="s">
        <v>379</v>
      </c>
      <c r="B179" s="212"/>
      <c r="C179" s="212"/>
      <c r="D179" s="212"/>
      <c r="E179" s="212"/>
      <c r="F179" s="212"/>
      <c r="G179" s="212"/>
      <c r="H179" s="212"/>
      <c r="I179" s="212"/>
      <c r="J179" s="212"/>
      <c r="K179" s="212"/>
      <c r="L179" s="212"/>
      <c r="M179" s="212"/>
      <c r="N179" s="212"/>
      <c r="O179" s="212"/>
      <c r="P179" s="212"/>
      <c r="Q179" s="212"/>
      <c r="R179" s="212"/>
      <c r="S179" s="212"/>
      <c r="T179" s="212"/>
      <c r="U179" s="212"/>
      <c r="V179" s="212"/>
      <c r="W179" s="212"/>
      <c r="X179" s="212"/>
      <c r="Y179" s="212"/>
      <c r="Z179" s="212"/>
      <c r="AA179" s="212"/>
      <c r="AB179" s="212"/>
    </row>
    <row r="180" spans="1:28" s="112" customFormat="1" ht="12" customHeight="1" x14ac:dyDescent="0.2">
      <c r="A180" s="212"/>
      <c r="B180" s="212"/>
      <c r="C180" s="212"/>
      <c r="D180" s="212"/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</row>
    <row r="181" spans="1:28" s="112" customFormat="1" ht="15" x14ac:dyDescent="0.25">
      <c r="A181" s="117"/>
      <c r="B181" s="117"/>
      <c r="C181" s="213"/>
      <c r="D181" s="214"/>
      <c r="E181" s="214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6"/>
      <c r="V181" s="216"/>
      <c r="W181" s="216"/>
      <c r="X181" s="216"/>
      <c r="Y181" s="215"/>
      <c r="Z181" s="215"/>
      <c r="AA181" s="217"/>
      <c r="AB181" s="218"/>
    </row>
    <row r="182" spans="1:28" s="112" customFormat="1" ht="15" x14ac:dyDescent="0.25">
      <c r="A182" s="117"/>
      <c r="B182" s="117"/>
      <c r="C182" s="213"/>
      <c r="D182" s="214"/>
      <c r="E182" s="214"/>
      <c r="F182" s="216"/>
      <c r="G182" s="216"/>
      <c r="H182" s="216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7"/>
      <c r="AB182" s="218"/>
    </row>
    <row r="183" spans="1:28" s="112" customFormat="1" ht="15" x14ac:dyDescent="0.25">
      <c r="A183" s="117"/>
      <c r="B183" s="117"/>
      <c r="C183" s="213"/>
      <c r="D183" s="214"/>
      <c r="E183" s="214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7"/>
      <c r="AB183" s="218"/>
    </row>
    <row r="184" spans="1:28" s="112" customFormat="1" ht="15" x14ac:dyDescent="0.25">
      <c r="A184" s="117"/>
      <c r="B184" s="117"/>
      <c r="C184" s="125"/>
      <c r="D184" s="125"/>
      <c r="E184" s="12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7"/>
      <c r="AB184" s="218"/>
    </row>
    <row r="185" spans="1:28" s="112" customFormat="1" ht="15" x14ac:dyDescent="0.25">
      <c r="A185" s="117"/>
      <c r="B185" s="117"/>
      <c r="C185" s="125"/>
      <c r="D185" s="125"/>
      <c r="E185" s="125"/>
      <c r="F185" s="219"/>
      <c r="G185" s="125"/>
      <c r="H185" s="125"/>
      <c r="I185" s="125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220"/>
      <c r="AB185" s="106"/>
    </row>
    <row r="186" spans="1:28" s="112" customFormat="1" x14ac:dyDescent="0.2">
      <c r="A186" s="117"/>
      <c r="B186" s="117"/>
      <c r="C186" s="162"/>
      <c r="D186" s="163"/>
      <c r="E186" s="163"/>
      <c r="F186" s="220"/>
      <c r="G186" s="220"/>
      <c r="H186" s="220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106"/>
    </row>
    <row r="187" spans="1:28" s="112" customFormat="1" x14ac:dyDescent="0.2">
      <c r="A187" s="117"/>
      <c r="B187" s="117"/>
      <c r="C187" s="162"/>
      <c r="D187" s="163"/>
      <c r="E187" s="163"/>
      <c r="F187" s="220"/>
      <c r="G187" s="220"/>
      <c r="H187" s="220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106"/>
    </row>
    <row r="188" spans="1:28" s="112" customFormat="1" x14ac:dyDescent="0.2">
      <c r="A188" s="117"/>
      <c r="B188" s="117"/>
      <c r="C188" s="162"/>
      <c r="D188" s="163"/>
      <c r="E188" s="163"/>
      <c r="F188" s="220"/>
      <c r="G188" s="220"/>
      <c r="H188" s="220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106"/>
    </row>
    <row r="189" spans="1:28" s="112" customFormat="1" x14ac:dyDescent="0.2">
      <c r="A189" s="117"/>
      <c r="B189" s="117"/>
      <c r="C189" s="162"/>
      <c r="D189" s="163"/>
      <c r="E189" s="163"/>
      <c r="F189" s="220"/>
      <c r="G189" s="220"/>
      <c r="H189" s="220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106"/>
    </row>
    <row r="190" spans="1:28" s="112" customFormat="1" x14ac:dyDescent="0.2">
      <c r="A190" s="117"/>
      <c r="B190" s="117"/>
      <c r="C190" s="162"/>
      <c r="D190" s="163"/>
      <c r="E190" s="163"/>
      <c r="F190" s="220"/>
      <c r="G190" s="220"/>
      <c r="H190" s="220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106"/>
    </row>
    <row r="191" spans="1:28" s="112" customFormat="1" x14ac:dyDescent="0.2">
      <c r="A191" s="117"/>
      <c r="B191" s="117"/>
      <c r="C191" s="162"/>
      <c r="D191" s="163"/>
      <c r="E191" s="163"/>
      <c r="F191" s="220"/>
      <c r="G191" s="220"/>
      <c r="H191" s="220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106"/>
    </row>
    <row r="192" spans="1:28" s="112" customFormat="1" x14ac:dyDescent="0.2">
      <c r="A192" s="117"/>
      <c r="B192" s="117"/>
      <c r="C192" s="162"/>
      <c r="D192" s="163"/>
      <c r="E192" s="163"/>
      <c r="F192" s="220"/>
      <c r="G192" s="220"/>
      <c r="H192" s="220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106"/>
    </row>
    <row r="193" spans="1:28" s="112" customFormat="1" x14ac:dyDescent="0.2">
      <c r="A193" s="117"/>
      <c r="B193" s="117"/>
      <c r="C193" s="162"/>
      <c r="D193" s="163"/>
      <c r="E193" s="163"/>
      <c r="F193" s="220"/>
      <c r="G193" s="220"/>
      <c r="H193" s="220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106"/>
    </row>
    <row r="194" spans="1:28" s="112" customFormat="1" x14ac:dyDescent="0.2">
      <c r="A194" s="117"/>
      <c r="B194" s="117"/>
      <c r="C194" s="162"/>
      <c r="D194" s="163"/>
      <c r="E194" s="163"/>
      <c r="F194" s="220"/>
      <c r="G194" s="220"/>
      <c r="H194" s="220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106"/>
    </row>
    <row r="195" spans="1:28" s="112" customFormat="1" x14ac:dyDescent="0.2">
      <c r="A195" s="117"/>
      <c r="B195" s="117"/>
      <c r="C195" s="162"/>
      <c r="D195" s="163"/>
      <c r="E195" s="163"/>
      <c r="F195" s="220"/>
      <c r="G195" s="220"/>
      <c r="H195" s="220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106"/>
    </row>
    <row r="196" spans="1:28" s="112" customFormat="1" x14ac:dyDescent="0.2">
      <c r="A196" s="117"/>
      <c r="B196" s="117"/>
      <c r="C196" s="162"/>
      <c r="D196" s="163"/>
      <c r="E196" s="163"/>
      <c r="F196" s="220"/>
      <c r="G196" s="220"/>
      <c r="H196" s="220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106"/>
    </row>
    <row r="197" spans="1:28" s="112" customFormat="1" x14ac:dyDescent="0.2">
      <c r="A197" s="117"/>
      <c r="B197" s="117"/>
      <c r="C197" s="162"/>
      <c r="D197" s="163"/>
      <c r="E197" s="163"/>
      <c r="F197" s="220"/>
      <c r="G197" s="220"/>
      <c r="H197" s="220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106"/>
    </row>
    <row r="198" spans="1:28" s="112" customFormat="1" x14ac:dyDescent="0.2">
      <c r="A198" s="117"/>
      <c r="B198" s="117"/>
      <c r="C198" s="162"/>
      <c r="D198" s="163"/>
      <c r="E198" s="163"/>
      <c r="F198" s="220"/>
      <c r="G198" s="220"/>
      <c r="H198" s="220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106"/>
    </row>
    <row r="199" spans="1:28" s="112" customFormat="1" x14ac:dyDescent="0.2">
      <c r="A199" s="117"/>
      <c r="B199" s="117"/>
      <c r="C199" s="162"/>
      <c r="D199" s="163"/>
      <c r="E199" s="163"/>
      <c r="F199" s="220"/>
      <c r="G199" s="220"/>
      <c r="H199" s="220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106"/>
    </row>
    <row r="200" spans="1:28" s="112" customFormat="1" x14ac:dyDescent="0.2">
      <c r="A200" s="117"/>
      <c r="B200" s="117"/>
      <c r="C200" s="162"/>
      <c r="D200" s="163"/>
      <c r="E200" s="163"/>
      <c r="F200" s="220"/>
      <c r="G200" s="220"/>
      <c r="H200" s="220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106"/>
    </row>
    <row r="201" spans="1:28" s="112" customFormat="1" x14ac:dyDescent="0.2">
      <c r="A201" s="117"/>
      <c r="B201" s="117"/>
      <c r="C201" s="162"/>
      <c r="D201" s="163"/>
      <c r="E201" s="163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106"/>
    </row>
    <row r="202" spans="1:28" s="112" customFormat="1" x14ac:dyDescent="0.2">
      <c r="A202" s="117"/>
      <c r="B202" s="117"/>
      <c r="C202" s="162"/>
      <c r="D202" s="163"/>
      <c r="E202" s="163"/>
      <c r="F202" s="220"/>
      <c r="G202" s="220"/>
      <c r="H202" s="220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106"/>
    </row>
    <row r="203" spans="1:28" s="112" customFormat="1" x14ac:dyDescent="0.2">
      <c r="A203" s="117"/>
      <c r="B203" s="117"/>
      <c r="C203" s="162"/>
      <c r="D203" s="163"/>
      <c r="E203" s="163"/>
      <c r="F203" s="220"/>
      <c r="G203" s="220"/>
      <c r="H203" s="220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106"/>
    </row>
    <row r="204" spans="1:28" s="112" customFormat="1" x14ac:dyDescent="0.2">
      <c r="A204" s="117"/>
      <c r="B204" s="117"/>
      <c r="C204" s="162"/>
      <c r="D204" s="163"/>
      <c r="E204" s="163"/>
      <c r="F204" s="220"/>
      <c r="G204" s="220"/>
      <c r="H204" s="220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106"/>
    </row>
    <row r="205" spans="1:28" s="112" customFormat="1" x14ac:dyDescent="0.2">
      <c r="A205" s="117"/>
      <c r="B205" s="117"/>
      <c r="C205" s="162"/>
      <c r="D205" s="163"/>
      <c r="E205" s="163"/>
      <c r="F205" s="220"/>
      <c r="G205" s="220"/>
      <c r="H205" s="220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106"/>
    </row>
    <row r="206" spans="1:28" s="112" customFormat="1" x14ac:dyDescent="0.2">
      <c r="A206" s="117"/>
      <c r="B206" s="117"/>
      <c r="C206" s="162"/>
      <c r="D206" s="163"/>
      <c r="E206" s="163"/>
      <c r="F206" s="220"/>
      <c r="G206" s="220"/>
      <c r="H206" s="220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106"/>
    </row>
    <row r="207" spans="1:28" s="112" customFormat="1" x14ac:dyDescent="0.2">
      <c r="A207" s="117"/>
      <c r="B207" s="117"/>
      <c r="C207" s="162"/>
      <c r="D207" s="163"/>
      <c r="E207" s="163"/>
      <c r="F207" s="220"/>
      <c r="G207" s="220"/>
      <c r="H207" s="220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106"/>
    </row>
    <row r="208" spans="1:28" s="112" customFormat="1" x14ac:dyDescent="0.2">
      <c r="A208" s="117"/>
      <c r="B208" s="117"/>
      <c r="C208" s="162"/>
      <c r="D208" s="163"/>
      <c r="E208" s="163"/>
      <c r="F208" s="220"/>
      <c r="G208" s="220"/>
      <c r="H208" s="220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106"/>
    </row>
    <row r="209" spans="1:28" s="112" customFormat="1" x14ac:dyDescent="0.2">
      <c r="A209" s="117"/>
      <c r="B209" s="117"/>
      <c r="C209" s="162"/>
      <c r="D209" s="163"/>
      <c r="E209" s="163"/>
      <c r="F209" s="220"/>
      <c r="G209" s="220"/>
      <c r="H209" s="220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106"/>
    </row>
    <row r="210" spans="1:28" s="112" customFormat="1" x14ac:dyDescent="0.2">
      <c r="A210" s="117"/>
      <c r="B210" s="117"/>
      <c r="C210" s="162"/>
      <c r="D210" s="163"/>
      <c r="E210" s="163"/>
      <c r="F210" s="220"/>
      <c r="G210" s="220"/>
      <c r="H210" s="220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106"/>
    </row>
    <row r="211" spans="1:28" s="112" customFormat="1" x14ac:dyDescent="0.2">
      <c r="A211" s="117"/>
      <c r="B211" s="117"/>
      <c r="C211" s="162"/>
      <c r="D211" s="163"/>
      <c r="E211" s="163"/>
      <c r="F211" s="220"/>
      <c r="G211" s="220"/>
      <c r="H211" s="220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106"/>
    </row>
    <row r="212" spans="1:28" s="112" customFormat="1" x14ac:dyDescent="0.2">
      <c r="A212" s="117"/>
      <c r="B212" s="117"/>
      <c r="C212" s="162"/>
      <c r="D212" s="163"/>
      <c r="E212" s="163"/>
      <c r="F212" s="220"/>
      <c r="G212" s="220"/>
      <c r="H212" s="220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106"/>
    </row>
    <row r="213" spans="1:28" s="112" customFormat="1" x14ac:dyDescent="0.2">
      <c r="A213" s="117"/>
      <c r="B213" s="117"/>
      <c r="C213" s="162"/>
      <c r="D213" s="163"/>
      <c r="E213" s="163"/>
      <c r="F213" s="220"/>
      <c r="G213" s="220"/>
      <c r="H213" s="220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106"/>
    </row>
    <row r="214" spans="1:28" s="112" customFormat="1" x14ac:dyDescent="0.2">
      <c r="A214" s="117"/>
      <c r="B214" s="117"/>
      <c r="C214" s="162"/>
      <c r="D214" s="163"/>
      <c r="E214" s="163"/>
      <c r="F214" s="220"/>
      <c r="G214" s="220"/>
      <c r="H214" s="220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106"/>
    </row>
    <row r="215" spans="1:28" s="112" customFormat="1" x14ac:dyDescent="0.2">
      <c r="A215" s="117"/>
      <c r="B215" s="117"/>
      <c r="C215" s="162"/>
      <c r="D215" s="163"/>
      <c r="E215" s="163"/>
      <c r="F215" s="220"/>
      <c r="G215" s="220"/>
      <c r="H215" s="220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106"/>
    </row>
    <row r="216" spans="1:28" s="112" customFormat="1" x14ac:dyDescent="0.2">
      <c r="A216" s="117"/>
      <c r="B216" s="117"/>
      <c r="C216" s="162"/>
      <c r="D216" s="163"/>
      <c r="E216" s="163"/>
      <c r="F216" s="220"/>
      <c r="G216" s="220"/>
      <c r="H216" s="220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106"/>
    </row>
    <row r="217" spans="1:28" s="112" customFormat="1" x14ac:dyDescent="0.2">
      <c r="A217" s="117"/>
      <c r="B217" s="117"/>
      <c r="C217" s="162"/>
      <c r="D217" s="163"/>
      <c r="E217" s="163"/>
      <c r="F217" s="220"/>
      <c r="G217" s="220"/>
      <c r="H217" s="220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106"/>
    </row>
    <row r="218" spans="1:28" s="112" customFormat="1" x14ac:dyDescent="0.2">
      <c r="A218" s="117"/>
      <c r="B218" s="117"/>
      <c r="C218" s="162"/>
      <c r="D218" s="163"/>
      <c r="E218" s="163"/>
      <c r="F218" s="220"/>
      <c r="G218" s="220"/>
      <c r="H218" s="220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106"/>
    </row>
    <row r="219" spans="1:28" s="112" customFormat="1" x14ac:dyDescent="0.2">
      <c r="A219" s="117"/>
      <c r="B219" s="117"/>
      <c r="C219" s="162"/>
      <c r="D219" s="163"/>
      <c r="E219" s="163"/>
      <c r="F219" s="220"/>
      <c r="G219" s="220"/>
      <c r="H219" s="220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106"/>
    </row>
    <row r="220" spans="1:28" s="112" customFormat="1" x14ac:dyDescent="0.2">
      <c r="A220" s="117"/>
      <c r="B220" s="117"/>
      <c r="C220" s="162"/>
      <c r="D220" s="163"/>
      <c r="E220" s="163"/>
      <c r="F220" s="220"/>
      <c r="G220" s="220"/>
      <c r="H220" s="220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106"/>
    </row>
    <row r="221" spans="1:28" s="112" customFormat="1" x14ac:dyDescent="0.2">
      <c r="A221" s="117"/>
      <c r="B221" s="117"/>
      <c r="C221" s="162"/>
      <c r="D221" s="163"/>
      <c r="E221" s="163"/>
      <c r="F221" s="220"/>
      <c r="G221" s="220"/>
      <c r="H221" s="220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106"/>
    </row>
    <row r="222" spans="1:28" s="112" customFormat="1" x14ac:dyDescent="0.2">
      <c r="A222" s="117"/>
      <c r="B222" s="117"/>
      <c r="C222" s="162"/>
      <c r="D222" s="163"/>
      <c r="E222" s="163"/>
      <c r="F222" s="220"/>
      <c r="G222" s="220"/>
      <c r="H222" s="220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106"/>
    </row>
    <row r="223" spans="1:28" s="112" customFormat="1" x14ac:dyDescent="0.2">
      <c r="A223" s="117"/>
      <c r="B223" s="117"/>
      <c r="C223" s="162"/>
      <c r="D223" s="163"/>
      <c r="E223" s="163"/>
      <c r="F223" s="220"/>
      <c r="G223" s="220"/>
      <c r="H223" s="220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106"/>
    </row>
    <row r="224" spans="1:28" s="112" customFormat="1" x14ac:dyDescent="0.2">
      <c r="A224" s="117"/>
      <c r="B224" s="117"/>
      <c r="C224" s="162"/>
      <c r="D224" s="163"/>
      <c r="E224" s="163"/>
      <c r="F224" s="220"/>
      <c r="G224" s="220"/>
      <c r="H224" s="220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106"/>
    </row>
    <row r="225" spans="1:28" s="112" customFormat="1" x14ac:dyDescent="0.2">
      <c r="A225" s="117"/>
      <c r="B225" s="117"/>
      <c r="C225" s="162"/>
      <c r="D225" s="163"/>
      <c r="E225" s="163"/>
      <c r="F225" s="220"/>
      <c r="G225" s="220"/>
      <c r="H225" s="220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106"/>
    </row>
    <row r="226" spans="1:28" s="112" customFormat="1" x14ac:dyDescent="0.2">
      <c r="A226" s="117"/>
      <c r="B226" s="117"/>
      <c r="C226" s="162"/>
      <c r="D226" s="163"/>
      <c r="E226" s="163"/>
      <c r="F226" s="220"/>
      <c r="G226" s="220"/>
      <c r="H226" s="220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106"/>
    </row>
    <row r="227" spans="1:28" s="112" customFormat="1" x14ac:dyDescent="0.2">
      <c r="A227" s="117"/>
      <c r="B227" s="117"/>
      <c r="C227" s="162"/>
      <c r="D227" s="163"/>
      <c r="E227" s="163"/>
      <c r="F227" s="220"/>
      <c r="G227" s="220"/>
      <c r="H227" s="220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106"/>
    </row>
    <row r="228" spans="1:28" s="112" customFormat="1" x14ac:dyDescent="0.2">
      <c r="A228" s="117"/>
      <c r="B228" s="117"/>
      <c r="C228" s="162"/>
      <c r="D228" s="163"/>
      <c r="E228" s="163"/>
      <c r="F228" s="220"/>
      <c r="G228" s="220"/>
      <c r="H228" s="220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106"/>
    </row>
    <row r="229" spans="1:28" s="112" customFormat="1" x14ac:dyDescent="0.2">
      <c r="A229" s="117"/>
      <c r="B229" s="117"/>
      <c r="C229" s="162"/>
      <c r="D229" s="163"/>
      <c r="E229" s="163"/>
      <c r="F229" s="220"/>
      <c r="G229" s="220"/>
      <c r="H229" s="220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106"/>
    </row>
    <row r="230" spans="1:28" s="112" customFormat="1" x14ac:dyDescent="0.2">
      <c r="A230" s="117"/>
      <c r="B230" s="117"/>
      <c r="C230" s="162"/>
      <c r="D230" s="163"/>
      <c r="E230" s="163"/>
      <c r="F230" s="220"/>
      <c r="G230" s="220"/>
      <c r="H230" s="220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106"/>
    </row>
    <row r="231" spans="1:28" s="112" customFormat="1" x14ac:dyDescent="0.2">
      <c r="A231" s="117"/>
      <c r="B231" s="117"/>
      <c r="C231" s="162"/>
      <c r="D231" s="163"/>
      <c r="E231" s="163"/>
      <c r="F231" s="220"/>
      <c r="G231" s="220"/>
      <c r="H231" s="220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106"/>
    </row>
    <row r="232" spans="1:28" s="112" customFormat="1" x14ac:dyDescent="0.2">
      <c r="A232" s="117"/>
      <c r="B232" s="117"/>
      <c r="C232" s="162"/>
      <c r="D232" s="163"/>
      <c r="E232" s="163"/>
      <c r="F232" s="220"/>
      <c r="G232" s="220"/>
      <c r="H232" s="220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106"/>
    </row>
    <row r="233" spans="1:28" s="112" customFormat="1" x14ac:dyDescent="0.2">
      <c r="A233" s="117"/>
      <c r="B233" s="117"/>
      <c r="C233" s="162"/>
      <c r="D233" s="163"/>
      <c r="E233" s="163"/>
      <c r="F233" s="220"/>
      <c r="G233" s="220"/>
      <c r="H233" s="220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106"/>
    </row>
    <row r="234" spans="1:28" s="112" customFormat="1" x14ac:dyDescent="0.2">
      <c r="A234" s="117"/>
      <c r="B234" s="117"/>
      <c r="C234" s="162"/>
      <c r="D234" s="163"/>
      <c r="E234" s="163"/>
      <c r="F234" s="220"/>
      <c r="G234" s="220"/>
      <c r="H234" s="220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106"/>
    </row>
    <row r="235" spans="1:28" s="112" customFormat="1" x14ac:dyDescent="0.2">
      <c r="A235" s="117"/>
      <c r="B235" s="117"/>
      <c r="C235" s="162"/>
      <c r="D235" s="163"/>
      <c r="E235" s="163"/>
      <c r="F235" s="220"/>
      <c r="G235" s="220"/>
      <c r="H235" s="220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106"/>
    </row>
    <row r="236" spans="1:28" s="112" customFormat="1" x14ac:dyDescent="0.2">
      <c r="A236" s="117"/>
      <c r="B236" s="117"/>
      <c r="C236" s="162"/>
      <c r="D236" s="163"/>
      <c r="E236" s="163"/>
      <c r="F236" s="220"/>
      <c r="G236" s="220"/>
      <c r="H236" s="220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106"/>
    </row>
    <row r="237" spans="1:28" s="112" customFormat="1" x14ac:dyDescent="0.2">
      <c r="A237" s="117"/>
      <c r="B237" s="117"/>
      <c r="C237" s="162"/>
      <c r="D237" s="163"/>
      <c r="E237" s="163"/>
      <c r="F237" s="220"/>
      <c r="G237" s="220"/>
      <c r="H237" s="220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106"/>
    </row>
    <row r="238" spans="1:28" s="112" customFormat="1" x14ac:dyDescent="0.2">
      <c r="A238" s="117"/>
      <c r="B238" s="117"/>
      <c r="C238" s="162"/>
      <c r="D238" s="163"/>
      <c r="E238" s="163"/>
      <c r="F238" s="220"/>
      <c r="G238" s="220"/>
      <c r="H238" s="220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106"/>
    </row>
    <row r="239" spans="1:28" s="112" customFormat="1" x14ac:dyDescent="0.2">
      <c r="A239" s="117"/>
      <c r="B239" s="117"/>
      <c r="C239" s="162"/>
      <c r="D239" s="163"/>
      <c r="E239" s="163"/>
      <c r="F239" s="220"/>
      <c r="G239" s="220"/>
      <c r="H239" s="220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106"/>
    </row>
    <row r="240" spans="1:28" s="112" customFormat="1" x14ac:dyDescent="0.2">
      <c r="A240" s="117"/>
      <c r="B240" s="117"/>
      <c r="C240" s="162"/>
      <c r="D240" s="163"/>
      <c r="E240" s="163"/>
      <c r="F240" s="220"/>
      <c r="G240" s="220"/>
      <c r="H240" s="220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106"/>
    </row>
    <row r="241" spans="1:28" s="112" customFormat="1" x14ac:dyDescent="0.2">
      <c r="A241" s="117"/>
      <c r="B241" s="117"/>
      <c r="C241" s="162"/>
      <c r="D241" s="163"/>
      <c r="E241" s="163"/>
      <c r="F241" s="220"/>
      <c r="G241" s="220"/>
      <c r="H241" s="220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106"/>
    </row>
    <row r="242" spans="1:28" s="112" customFormat="1" x14ac:dyDescent="0.2">
      <c r="A242" s="117"/>
      <c r="B242" s="117"/>
      <c r="C242" s="162"/>
      <c r="D242" s="163"/>
      <c r="E242" s="163"/>
      <c r="F242" s="220"/>
      <c r="G242" s="220"/>
      <c r="H242" s="220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106"/>
    </row>
    <row r="243" spans="1:28" s="112" customFormat="1" x14ac:dyDescent="0.2">
      <c r="A243" s="117"/>
      <c r="B243" s="117"/>
      <c r="C243" s="162"/>
      <c r="D243" s="163"/>
      <c r="E243" s="163"/>
      <c r="F243" s="220"/>
      <c r="G243" s="220"/>
      <c r="H243" s="220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106"/>
    </row>
    <row r="244" spans="1:28" s="112" customFormat="1" x14ac:dyDescent="0.2">
      <c r="A244" s="117"/>
      <c r="B244" s="117"/>
      <c r="C244" s="162"/>
      <c r="D244" s="163"/>
      <c r="E244" s="163"/>
      <c r="F244" s="220"/>
      <c r="G244" s="220"/>
      <c r="H244" s="220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106"/>
    </row>
    <row r="245" spans="1:28" s="112" customFormat="1" x14ac:dyDescent="0.2">
      <c r="A245" s="117"/>
      <c r="B245" s="117"/>
      <c r="C245" s="162"/>
      <c r="D245" s="163"/>
      <c r="E245" s="163"/>
      <c r="F245" s="220"/>
      <c r="G245" s="220"/>
      <c r="H245" s="220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106"/>
    </row>
    <row r="246" spans="1:28" s="112" customFormat="1" x14ac:dyDescent="0.2">
      <c r="A246" s="117"/>
      <c r="B246" s="117"/>
      <c r="C246" s="162"/>
      <c r="D246" s="163"/>
      <c r="E246" s="163"/>
      <c r="F246" s="220"/>
      <c r="G246" s="220"/>
      <c r="H246" s="220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106"/>
    </row>
    <row r="247" spans="1:28" s="112" customFormat="1" x14ac:dyDescent="0.2">
      <c r="A247" s="117"/>
      <c r="B247" s="117"/>
      <c r="C247" s="162"/>
      <c r="D247" s="163"/>
      <c r="E247" s="163"/>
      <c r="F247" s="220"/>
      <c r="G247" s="220"/>
      <c r="H247" s="220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106"/>
    </row>
    <row r="248" spans="1:28" s="112" customFormat="1" x14ac:dyDescent="0.2">
      <c r="A248" s="117"/>
      <c r="B248" s="117"/>
      <c r="C248" s="162"/>
      <c r="D248" s="163"/>
      <c r="E248" s="163"/>
      <c r="F248" s="220"/>
      <c r="G248" s="220"/>
      <c r="H248" s="220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106"/>
    </row>
    <row r="249" spans="1:28" s="112" customFormat="1" x14ac:dyDescent="0.2">
      <c r="A249" s="117"/>
      <c r="B249" s="117"/>
      <c r="C249" s="162"/>
      <c r="D249" s="163"/>
      <c r="E249" s="163"/>
      <c r="F249" s="220"/>
      <c r="G249" s="220"/>
      <c r="H249" s="220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106"/>
    </row>
    <row r="250" spans="1:28" s="112" customFormat="1" x14ac:dyDescent="0.2">
      <c r="A250" s="117"/>
      <c r="B250" s="117"/>
      <c r="C250" s="162"/>
      <c r="D250" s="163"/>
      <c r="E250" s="163"/>
      <c r="F250" s="220"/>
      <c r="G250" s="220"/>
      <c r="H250" s="220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106"/>
    </row>
    <row r="251" spans="1:28" s="112" customFormat="1" x14ac:dyDescent="0.2">
      <c r="A251" s="117"/>
      <c r="B251" s="117"/>
      <c r="C251" s="162"/>
      <c r="D251" s="163"/>
      <c r="E251" s="163"/>
      <c r="F251" s="220"/>
      <c r="G251" s="220"/>
      <c r="H251" s="220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106"/>
    </row>
    <row r="252" spans="1:28" s="112" customFormat="1" x14ac:dyDescent="0.2">
      <c r="A252" s="117"/>
      <c r="B252" s="117"/>
      <c r="C252" s="162"/>
      <c r="D252" s="163"/>
      <c r="E252" s="163"/>
      <c r="F252" s="220"/>
      <c r="G252" s="220"/>
      <c r="H252" s="220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106"/>
    </row>
    <row r="253" spans="1:28" s="112" customFormat="1" x14ac:dyDescent="0.2">
      <c r="A253" s="117"/>
      <c r="B253" s="117"/>
      <c r="C253" s="162"/>
      <c r="D253" s="163"/>
      <c r="E253" s="163"/>
      <c r="F253" s="220"/>
      <c r="G253" s="220"/>
      <c r="H253" s="220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106"/>
    </row>
    <row r="254" spans="1:28" s="112" customFormat="1" x14ac:dyDescent="0.2">
      <c r="A254" s="117"/>
      <c r="B254" s="117"/>
      <c r="C254" s="162"/>
      <c r="D254" s="163"/>
      <c r="E254" s="163"/>
      <c r="F254" s="220"/>
      <c r="G254" s="220"/>
      <c r="H254" s="220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106"/>
    </row>
    <row r="255" spans="1:28" s="112" customFormat="1" x14ac:dyDescent="0.2">
      <c r="A255" s="117"/>
      <c r="B255" s="117"/>
      <c r="C255" s="162"/>
      <c r="D255" s="163"/>
      <c r="E255" s="163"/>
      <c r="F255" s="220"/>
      <c r="G255" s="220"/>
      <c r="H255" s="220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106"/>
    </row>
    <row r="256" spans="1:28" s="112" customFormat="1" x14ac:dyDescent="0.2">
      <c r="A256" s="117"/>
      <c r="B256" s="117"/>
      <c r="C256" s="162"/>
      <c r="D256" s="163"/>
      <c r="E256" s="163"/>
      <c r="F256" s="220"/>
      <c r="G256" s="220"/>
      <c r="H256" s="220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106"/>
    </row>
    <row r="257" spans="1:28" s="112" customFormat="1" x14ac:dyDescent="0.2">
      <c r="A257" s="117"/>
      <c r="B257" s="117"/>
      <c r="C257" s="162"/>
      <c r="D257" s="163"/>
      <c r="E257" s="163"/>
      <c r="F257" s="220"/>
      <c r="G257" s="220"/>
      <c r="H257" s="220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106"/>
    </row>
    <row r="258" spans="1:28" s="112" customFormat="1" x14ac:dyDescent="0.2">
      <c r="A258" s="117"/>
      <c r="B258" s="117"/>
      <c r="C258" s="162"/>
      <c r="D258" s="163"/>
      <c r="E258" s="163"/>
      <c r="F258" s="220"/>
      <c r="G258" s="220"/>
      <c r="H258" s="220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106"/>
    </row>
    <row r="259" spans="1:28" s="112" customFormat="1" x14ac:dyDescent="0.2">
      <c r="A259" s="117"/>
      <c r="B259" s="117"/>
      <c r="C259" s="162"/>
      <c r="D259" s="163"/>
      <c r="E259" s="163"/>
      <c r="F259" s="220"/>
      <c r="G259" s="220"/>
      <c r="H259" s="220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106"/>
    </row>
    <row r="260" spans="1:28" s="112" customFormat="1" x14ac:dyDescent="0.2">
      <c r="A260" s="117"/>
      <c r="B260" s="117"/>
      <c r="C260" s="162"/>
      <c r="D260" s="163"/>
      <c r="E260" s="163"/>
      <c r="F260" s="220"/>
      <c r="G260" s="220"/>
      <c r="H260" s="220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106"/>
    </row>
    <row r="261" spans="1:28" s="112" customFormat="1" x14ac:dyDescent="0.2">
      <c r="A261" s="117"/>
      <c r="B261" s="117"/>
      <c r="C261" s="162"/>
      <c r="D261" s="163"/>
      <c r="E261" s="163"/>
      <c r="F261" s="220"/>
      <c r="G261" s="220"/>
      <c r="H261" s="220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106"/>
    </row>
    <row r="262" spans="1:28" s="112" customFormat="1" x14ac:dyDescent="0.2">
      <c r="A262" s="117"/>
      <c r="B262" s="117"/>
      <c r="C262" s="162"/>
      <c r="D262" s="163"/>
      <c r="E262" s="163"/>
      <c r="F262" s="220"/>
      <c r="G262" s="220"/>
      <c r="H262" s="220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106"/>
    </row>
    <row r="263" spans="1:28" s="112" customFormat="1" x14ac:dyDescent="0.2">
      <c r="A263" s="117"/>
      <c r="B263" s="117"/>
      <c r="C263" s="162"/>
      <c r="D263" s="163"/>
      <c r="E263" s="163"/>
      <c r="F263" s="220"/>
      <c r="G263" s="220"/>
      <c r="H263" s="220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106"/>
    </row>
    <row r="264" spans="1:28" s="112" customFormat="1" x14ac:dyDescent="0.2">
      <c r="A264" s="117"/>
      <c r="B264" s="117"/>
      <c r="C264" s="162"/>
      <c r="D264" s="163"/>
      <c r="E264" s="163"/>
      <c r="F264" s="220"/>
      <c r="G264" s="220"/>
      <c r="H264" s="220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106"/>
    </row>
    <row r="265" spans="1:28" s="112" customFormat="1" x14ac:dyDescent="0.2">
      <c r="A265" s="117"/>
      <c r="B265" s="117"/>
      <c r="C265" s="162"/>
      <c r="D265" s="163"/>
      <c r="E265" s="163"/>
      <c r="F265" s="220"/>
      <c r="G265" s="220"/>
      <c r="H265" s="220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106"/>
    </row>
    <row r="266" spans="1:28" s="112" customFormat="1" x14ac:dyDescent="0.2">
      <c r="A266" s="117"/>
      <c r="B266" s="117"/>
      <c r="C266" s="162"/>
      <c r="D266" s="163"/>
      <c r="E266" s="163"/>
      <c r="F266" s="220"/>
      <c r="G266" s="220"/>
      <c r="H266" s="220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106"/>
    </row>
    <row r="267" spans="1:28" s="112" customFormat="1" x14ac:dyDescent="0.2">
      <c r="A267" s="117"/>
      <c r="B267" s="117"/>
      <c r="C267" s="162"/>
      <c r="D267" s="163"/>
      <c r="E267" s="163"/>
      <c r="F267" s="220"/>
      <c r="G267" s="220"/>
      <c r="H267" s="220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106"/>
    </row>
    <row r="268" spans="1:28" s="112" customFormat="1" x14ac:dyDescent="0.2">
      <c r="A268" s="117"/>
      <c r="B268" s="117"/>
      <c r="C268" s="162"/>
      <c r="D268" s="163"/>
      <c r="E268" s="163"/>
      <c r="F268" s="220"/>
      <c r="G268" s="220"/>
      <c r="H268" s="220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106"/>
    </row>
    <row r="269" spans="1:28" s="112" customFormat="1" x14ac:dyDescent="0.2">
      <c r="A269" s="117"/>
      <c r="B269" s="117"/>
      <c r="C269" s="162"/>
      <c r="D269" s="163"/>
      <c r="E269" s="163"/>
      <c r="F269" s="220"/>
      <c r="G269" s="220"/>
      <c r="H269" s="220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106"/>
    </row>
    <row r="270" spans="1:28" s="112" customFormat="1" x14ac:dyDescent="0.2">
      <c r="A270" s="117"/>
      <c r="B270" s="117"/>
      <c r="C270" s="162"/>
      <c r="D270" s="163"/>
      <c r="E270" s="163"/>
      <c r="F270" s="220"/>
      <c r="G270" s="220"/>
      <c r="H270" s="220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106"/>
    </row>
    <row r="271" spans="1:28" s="112" customFormat="1" x14ac:dyDescent="0.2">
      <c r="A271" s="117"/>
      <c r="B271" s="117"/>
      <c r="C271" s="162"/>
      <c r="D271" s="163"/>
      <c r="E271" s="163"/>
      <c r="F271" s="220"/>
      <c r="G271" s="220"/>
      <c r="H271" s="220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106"/>
    </row>
    <row r="272" spans="1:28" s="112" customFormat="1" x14ac:dyDescent="0.2">
      <c r="A272" s="117"/>
      <c r="B272" s="117"/>
      <c r="C272" s="162"/>
      <c r="D272" s="163"/>
      <c r="E272" s="163"/>
      <c r="F272" s="220"/>
      <c r="G272" s="220"/>
      <c r="H272" s="220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106"/>
    </row>
    <row r="273" spans="1:28" s="112" customFormat="1" x14ac:dyDescent="0.2">
      <c r="A273" s="117"/>
      <c r="B273" s="117"/>
      <c r="C273" s="162"/>
      <c r="D273" s="163"/>
      <c r="E273" s="163"/>
      <c r="F273" s="220"/>
      <c r="G273" s="220"/>
      <c r="H273" s="220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106"/>
    </row>
    <row r="274" spans="1:28" s="112" customFormat="1" x14ac:dyDescent="0.2">
      <c r="A274" s="117"/>
      <c r="B274" s="117"/>
      <c r="C274" s="162"/>
      <c r="D274" s="163"/>
      <c r="E274" s="163"/>
      <c r="F274" s="220"/>
      <c r="G274" s="220"/>
      <c r="H274" s="220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106"/>
    </row>
    <row r="275" spans="1:28" s="112" customFormat="1" x14ac:dyDescent="0.2">
      <c r="A275" s="117"/>
      <c r="B275" s="117"/>
      <c r="C275" s="162"/>
      <c r="D275" s="163"/>
      <c r="E275" s="163"/>
      <c r="F275" s="220"/>
      <c r="G275" s="220"/>
      <c r="H275" s="220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106"/>
    </row>
    <row r="276" spans="1:28" s="112" customFormat="1" x14ac:dyDescent="0.2">
      <c r="A276" s="117"/>
      <c r="B276" s="117"/>
      <c r="C276" s="162"/>
      <c r="D276" s="163"/>
      <c r="E276" s="163"/>
      <c r="F276" s="220"/>
      <c r="G276" s="220"/>
      <c r="H276" s="220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106"/>
    </row>
    <row r="277" spans="1:28" s="112" customFormat="1" x14ac:dyDescent="0.2">
      <c r="A277" s="117"/>
      <c r="B277" s="117"/>
      <c r="C277" s="162"/>
      <c r="D277" s="163"/>
      <c r="E277" s="163"/>
      <c r="F277" s="220"/>
      <c r="G277" s="220"/>
      <c r="H277" s="220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106"/>
    </row>
    <row r="278" spans="1:28" s="112" customFormat="1" x14ac:dyDescent="0.2">
      <c r="A278" s="117"/>
      <c r="B278" s="117"/>
      <c r="C278" s="162"/>
      <c r="D278" s="163"/>
      <c r="E278" s="163"/>
      <c r="F278" s="220"/>
      <c r="G278" s="220"/>
      <c r="H278" s="220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106"/>
    </row>
    <row r="279" spans="1:28" s="112" customFormat="1" x14ac:dyDescent="0.2">
      <c r="A279" s="117"/>
      <c r="B279" s="117"/>
      <c r="C279" s="162"/>
      <c r="D279" s="163"/>
      <c r="E279" s="163"/>
      <c r="F279" s="220"/>
      <c r="G279" s="220"/>
      <c r="H279" s="220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106"/>
    </row>
    <row r="280" spans="1:28" s="112" customFormat="1" x14ac:dyDescent="0.2">
      <c r="A280" s="117"/>
      <c r="B280" s="117"/>
      <c r="C280" s="162"/>
      <c r="D280" s="163"/>
      <c r="E280" s="163"/>
      <c r="F280" s="220"/>
      <c r="G280" s="220"/>
      <c r="H280" s="220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106"/>
    </row>
    <row r="281" spans="1:28" s="112" customFormat="1" x14ac:dyDescent="0.2">
      <c r="A281" s="117"/>
      <c r="B281" s="117"/>
      <c r="C281" s="162"/>
      <c r="D281" s="163"/>
      <c r="E281" s="163"/>
      <c r="F281" s="220"/>
      <c r="G281" s="220"/>
      <c r="H281" s="220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106"/>
    </row>
    <row r="282" spans="1:28" s="112" customFormat="1" x14ac:dyDescent="0.2">
      <c r="A282" s="117"/>
      <c r="B282" s="117"/>
      <c r="C282" s="162"/>
      <c r="D282" s="163"/>
      <c r="E282" s="163"/>
      <c r="F282" s="220"/>
      <c r="G282" s="220"/>
      <c r="H282" s="220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106"/>
    </row>
    <row r="283" spans="1:28" s="112" customFormat="1" x14ac:dyDescent="0.2">
      <c r="A283" s="117"/>
      <c r="B283" s="117"/>
      <c r="C283" s="162"/>
      <c r="D283" s="163"/>
      <c r="E283" s="163"/>
      <c r="F283" s="220"/>
      <c r="G283" s="220"/>
      <c r="H283" s="220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106"/>
    </row>
    <row r="284" spans="1:28" s="112" customFormat="1" x14ac:dyDescent="0.2">
      <c r="A284" s="117"/>
      <c r="B284" s="117"/>
      <c r="C284" s="162"/>
      <c r="D284" s="163"/>
      <c r="E284" s="163"/>
      <c r="F284" s="220"/>
      <c r="G284" s="220"/>
      <c r="H284" s="220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106"/>
    </row>
    <row r="285" spans="1:28" s="112" customFormat="1" x14ac:dyDescent="0.2">
      <c r="A285" s="117"/>
      <c r="B285" s="117"/>
      <c r="C285" s="162"/>
      <c r="D285" s="163"/>
      <c r="E285" s="163"/>
      <c r="F285" s="220"/>
      <c r="G285" s="220"/>
      <c r="H285" s="220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106"/>
    </row>
    <row r="286" spans="1:28" s="112" customFormat="1" x14ac:dyDescent="0.2">
      <c r="A286" s="117"/>
      <c r="B286" s="117"/>
      <c r="C286" s="162"/>
      <c r="D286" s="163"/>
      <c r="E286" s="163"/>
      <c r="F286" s="220"/>
      <c r="G286" s="220"/>
      <c r="H286" s="220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106"/>
    </row>
    <row r="287" spans="1:28" s="112" customFormat="1" x14ac:dyDescent="0.2">
      <c r="A287" s="117"/>
      <c r="B287" s="117"/>
      <c r="C287" s="162"/>
      <c r="D287" s="163"/>
      <c r="E287" s="163"/>
      <c r="F287" s="220"/>
      <c r="G287" s="220"/>
      <c r="H287" s="220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106"/>
    </row>
    <row r="288" spans="1:28" s="112" customFormat="1" x14ac:dyDescent="0.2">
      <c r="A288" s="117"/>
      <c r="B288" s="117"/>
      <c r="C288" s="162"/>
      <c r="D288" s="163"/>
      <c r="E288" s="163"/>
      <c r="F288" s="220"/>
      <c r="G288" s="220"/>
      <c r="H288" s="220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106"/>
    </row>
    <row r="289" spans="1:28" s="112" customFormat="1" x14ac:dyDescent="0.2">
      <c r="A289" s="117"/>
      <c r="B289" s="117"/>
      <c r="C289" s="162"/>
      <c r="D289" s="163"/>
      <c r="E289" s="163"/>
      <c r="F289" s="220"/>
      <c r="G289" s="220"/>
      <c r="H289" s="220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106"/>
    </row>
    <row r="290" spans="1:28" s="112" customFormat="1" x14ac:dyDescent="0.2">
      <c r="A290" s="117"/>
      <c r="B290" s="117"/>
      <c r="C290" s="162"/>
      <c r="D290" s="163"/>
      <c r="E290" s="163"/>
      <c r="F290" s="220"/>
      <c r="G290" s="220"/>
      <c r="H290" s="220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106"/>
    </row>
    <row r="291" spans="1:28" s="112" customFormat="1" x14ac:dyDescent="0.2">
      <c r="A291" s="117"/>
      <c r="B291" s="117"/>
      <c r="C291" s="162"/>
      <c r="D291" s="163"/>
      <c r="E291" s="163"/>
      <c r="F291" s="220"/>
      <c r="G291" s="220"/>
      <c r="H291" s="220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106"/>
    </row>
    <row r="292" spans="1:28" s="112" customFormat="1" x14ac:dyDescent="0.2">
      <c r="A292" s="117"/>
      <c r="B292" s="117"/>
      <c r="C292" s="162"/>
      <c r="D292" s="163"/>
      <c r="E292" s="163"/>
      <c r="F292" s="220"/>
      <c r="G292" s="220"/>
      <c r="H292" s="220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106"/>
    </row>
    <row r="293" spans="1:28" s="112" customFormat="1" x14ac:dyDescent="0.2">
      <c r="A293" s="117"/>
      <c r="B293" s="117"/>
      <c r="C293" s="162"/>
      <c r="D293" s="163"/>
      <c r="E293" s="163"/>
      <c r="F293" s="220"/>
      <c r="G293" s="220"/>
      <c r="H293" s="220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106"/>
    </row>
    <row r="294" spans="1:28" s="112" customFormat="1" x14ac:dyDescent="0.2">
      <c r="A294" s="117"/>
      <c r="B294" s="117"/>
      <c r="C294" s="162"/>
      <c r="D294" s="163"/>
      <c r="E294" s="163"/>
      <c r="F294" s="220"/>
      <c r="G294" s="220"/>
      <c r="H294" s="220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106"/>
    </row>
    <row r="295" spans="1:28" s="112" customFormat="1" x14ac:dyDescent="0.2">
      <c r="A295" s="117"/>
      <c r="B295" s="117"/>
      <c r="C295" s="162"/>
      <c r="D295" s="163"/>
      <c r="E295" s="163"/>
      <c r="F295" s="220"/>
      <c r="G295" s="220"/>
      <c r="H295" s="220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106"/>
    </row>
    <row r="296" spans="1:28" s="112" customFormat="1" x14ac:dyDescent="0.2">
      <c r="A296" s="117"/>
      <c r="B296" s="117"/>
      <c r="C296" s="162"/>
      <c r="D296" s="163"/>
      <c r="E296" s="163"/>
      <c r="F296" s="220"/>
      <c r="G296" s="220"/>
      <c r="H296" s="220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106"/>
    </row>
    <row r="297" spans="1:28" s="112" customFormat="1" x14ac:dyDescent="0.2">
      <c r="A297" s="117"/>
      <c r="B297" s="117"/>
      <c r="C297" s="162"/>
      <c r="D297" s="163"/>
      <c r="E297" s="163"/>
      <c r="F297" s="220"/>
      <c r="G297" s="220"/>
      <c r="H297" s="220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106"/>
    </row>
    <row r="298" spans="1:28" s="112" customFormat="1" x14ac:dyDescent="0.2">
      <c r="A298" s="117"/>
      <c r="B298" s="117"/>
      <c r="C298" s="162"/>
      <c r="D298" s="163"/>
      <c r="E298" s="163"/>
      <c r="F298" s="220"/>
      <c r="G298" s="220"/>
      <c r="H298" s="220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106"/>
    </row>
    <row r="299" spans="1:28" s="112" customFormat="1" x14ac:dyDescent="0.2">
      <c r="A299" s="117"/>
      <c r="B299" s="117"/>
      <c r="C299" s="162"/>
      <c r="D299" s="163"/>
      <c r="E299" s="163"/>
      <c r="F299" s="220"/>
      <c r="G299" s="220"/>
      <c r="H299" s="220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106"/>
    </row>
    <row r="300" spans="1:28" s="112" customFormat="1" x14ac:dyDescent="0.2">
      <c r="A300" s="117"/>
      <c r="B300" s="117"/>
      <c r="C300" s="162"/>
      <c r="D300" s="163"/>
      <c r="E300" s="163"/>
      <c r="F300" s="220"/>
      <c r="G300" s="220"/>
      <c r="H300" s="220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106"/>
    </row>
    <row r="301" spans="1:28" s="112" customFormat="1" x14ac:dyDescent="0.2">
      <c r="A301" s="117"/>
      <c r="B301" s="117"/>
      <c r="C301" s="162"/>
      <c r="D301" s="163"/>
      <c r="E301" s="163"/>
      <c r="F301" s="220"/>
      <c r="G301" s="220"/>
      <c r="H301" s="220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106"/>
    </row>
    <row r="302" spans="1:28" s="112" customFormat="1" x14ac:dyDescent="0.2">
      <c r="A302" s="117"/>
      <c r="B302" s="117"/>
      <c r="C302" s="162"/>
      <c r="D302" s="163"/>
      <c r="E302" s="163"/>
      <c r="F302" s="220"/>
      <c r="G302" s="220"/>
      <c r="H302" s="220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106"/>
    </row>
    <row r="303" spans="1:28" s="112" customFormat="1" x14ac:dyDescent="0.2">
      <c r="A303" s="117"/>
      <c r="B303" s="117"/>
      <c r="C303" s="162"/>
      <c r="D303" s="163"/>
      <c r="E303" s="163"/>
      <c r="F303" s="220"/>
      <c r="G303" s="220"/>
      <c r="H303" s="220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106"/>
    </row>
    <row r="304" spans="1:28" s="112" customFormat="1" x14ac:dyDescent="0.2">
      <c r="A304" s="117"/>
      <c r="B304" s="117"/>
      <c r="C304" s="162"/>
      <c r="D304" s="163"/>
      <c r="E304" s="163"/>
      <c r="F304" s="220"/>
      <c r="G304" s="220"/>
      <c r="H304" s="220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106"/>
    </row>
    <row r="305" spans="1:28" s="112" customFormat="1" x14ac:dyDescent="0.2">
      <c r="A305" s="117"/>
      <c r="B305" s="117"/>
      <c r="C305" s="162"/>
      <c r="D305" s="163"/>
      <c r="E305" s="163"/>
      <c r="F305" s="220"/>
      <c r="G305" s="220"/>
      <c r="H305" s="220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106"/>
    </row>
    <row r="306" spans="1:28" s="112" customFormat="1" x14ac:dyDescent="0.2">
      <c r="A306" s="117"/>
      <c r="B306" s="117"/>
      <c r="C306" s="162"/>
      <c r="D306" s="163"/>
      <c r="E306" s="163"/>
      <c r="F306" s="220"/>
      <c r="G306" s="220"/>
      <c r="H306" s="220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106"/>
    </row>
    <row r="307" spans="1:28" s="112" customFormat="1" x14ac:dyDescent="0.2">
      <c r="A307" s="117"/>
      <c r="B307" s="117"/>
      <c r="C307" s="162"/>
      <c r="D307" s="163"/>
      <c r="E307" s="163"/>
      <c r="F307" s="220"/>
      <c r="G307" s="220"/>
      <c r="H307" s="220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106"/>
    </row>
    <row r="308" spans="1:28" s="112" customFormat="1" x14ac:dyDescent="0.2">
      <c r="A308" s="117"/>
      <c r="B308" s="117"/>
      <c r="C308" s="162"/>
      <c r="D308" s="163"/>
      <c r="E308" s="163"/>
      <c r="F308" s="220"/>
      <c r="G308" s="220"/>
      <c r="H308" s="220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106"/>
    </row>
    <row r="309" spans="1:28" s="112" customFormat="1" x14ac:dyDescent="0.2">
      <c r="A309" s="117"/>
      <c r="B309" s="117"/>
      <c r="C309" s="162"/>
      <c r="D309" s="163"/>
      <c r="E309" s="163"/>
      <c r="F309" s="220"/>
      <c r="G309" s="220"/>
      <c r="H309" s="220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106"/>
    </row>
    <row r="310" spans="1:28" s="112" customFormat="1" x14ac:dyDescent="0.2">
      <c r="A310" s="117"/>
      <c r="B310" s="117"/>
      <c r="C310" s="162"/>
      <c r="D310" s="163"/>
      <c r="E310" s="163"/>
      <c r="F310" s="220"/>
      <c r="G310" s="220"/>
      <c r="H310" s="220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106"/>
    </row>
    <row r="311" spans="1:28" s="112" customFormat="1" x14ac:dyDescent="0.2">
      <c r="A311" s="117"/>
      <c r="B311" s="117"/>
      <c r="C311" s="162"/>
      <c r="D311" s="163"/>
      <c r="E311" s="163"/>
      <c r="F311" s="220"/>
      <c r="G311" s="220"/>
      <c r="H311" s="220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106"/>
    </row>
    <row r="312" spans="1:28" s="112" customFormat="1" x14ac:dyDescent="0.2">
      <c r="A312" s="117"/>
      <c r="B312" s="117"/>
      <c r="C312" s="162"/>
      <c r="D312" s="163"/>
      <c r="E312" s="163"/>
      <c r="F312" s="220"/>
      <c r="G312" s="220"/>
      <c r="H312" s="220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106"/>
    </row>
    <row r="313" spans="1:28" s="112" customFormat="1" x14ac:dyDescent="0.2">
      <c r="A313" s="117"/>
      <c r="B313" s="117"/>
      <c r="C313" s="162"/>
      <c r="D313" s="163"/>
      <c r="E313" s="163"/>
      <c r="F313" s="220"/>
      <c r="G313" s="220"/>
      <c r="H313" s="220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106"/>
    </row>
    <row r="314" spans="1:28" s="112" customFormat="1" x14ac:dyDescent="0.2">
      <c r="A314" s="117"/>
      <c r="B314" s="117"/>
      <c r="C314" s="162"/>
      <c r="D314" s="163"/>
      <c r="E314" s="163"/>
      <c r="F314" s="220"/>
      <c r="G314" s="220"/>
      <c r="H314" s="220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106"/>
    </row>
    <row r="315" spans="1:28" s="112" customFormat="1" x14ac:dyDescent="0.2">
      <c r="A315" s="117"/>
      <c r="B315" s="117"/>
      <c r="C315" s="162"/>
      <c r="D315" s="163"/>
      <c r="E315" s="163"/>
      <c r="F315" s="220"/>
      <c r="G315" s="220"/>
      <c r="H315" s="220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106"/>
    </row>
    <row r="316" spans="1:28" s="112" customFormat="1" x14ac:dyDescent="0.2">
      <c r="A316" s="117"/>
      <c r="B316" s="117"/>
      <c r="C316" s="162"/>
      <c r="D316" s="163"/>
      <c r="E316" s="163"/>
      <c r="F316" s="220"/>
      <c r="G316" s="220"/>
      <c r="H316" s="220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106"/>
    </row>
    <row r="317" spans="1:28" s="112" customFormat="1" x14ac:dyDescent="0.2">
      <c r="A317" s="117"/>
      <c r="B317" s="117"/>
      <c r="C317" s="162"/>
      <c r="D317" s="163"/>
      <c r="E317" s="163"/>
      <c r="F317" s="220"/>
      <c r="G317" s="220"/>
      <c r="H317" s="220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106"/>
    </row>
    <row r="318" spans="1:28" s="112" customFormat="1" x14ac:dyDescent="0.2">
      <c r="A318" s="117"/>
      <c r="B318" s="117"/>
      <c r="C318" s="162"/>
      <c r="D318" s="163"/>
      <c r="E318" s="163"/>
      <c r="F318" s="220"/>
      <c r="G318" s="220"/>
      <c r="H318" s="220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106"/>
    </row>
    <row r="319" spans="1:28" s="112" customFormat="1" x14ac:dyDescent="0.2">
      <c r="A319" s="117"/>
      <c r="B319" s="117"/>
      <c r="C319" s="162"/>
      <c r="D319" s="163"/>
      <c r="E319" s="163"/>
      <c r="F319" s="220"/>
      <c r="G319" s="220"/>
      <c r="H319" s="220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106"/>
    </row>
    <row r="320" spans="1:28" s="112" customFormat="1" x14ac:dyDescent="0.2">
      <c r="A320" s="117"/>
      <c r="B320" s="117"/>
      <c r="C320" s="162"/>
      <c r="D320" s="163"/>
      <c r="E320" s="163"/>
      <c r="F320" s="220"/>
      <c r="G320" s="220"/>
      <c r="H320" s="220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106"/>
    </row>
    <row r="321" spans="1:28" s="112" customFormat="1" x14ac:dyDescent="0.2">
      <c r="A321" s="117"/>
      <c r="B321" s="117"/>
      <c r="C321" s="162"/>
      <c r="D321" s="163"/>
      <c r="E321" s="163"/>
      <c r="F321" s="220"/>
      <c r="G321" s="220"/>
      <c r="H321" s="220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106"/>
    </row>
    <row r="322" spans="1:28" s="112" customFormat="1" x14ac:dyDescent="0.2">
      <c r="A322" s="117"/>
      <c r="B322" s="117"/>
      <c r="C322" s="162"/>
      <c r="D322" s="163"/>
      <c r="E322" s="163"/>
      <c r="F322" s="220"/>
      <c r="G322" s="220"/>
      <c r="H322" s="220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106"/>
    </row>
    <row r="323" spans="1:28" s="112" customFormat="1" x14ac:dyDescent="0.2">
      <c r="A323" s="117"/>
      <c r="B323" s="117"/>
      <c r="C323" s="162"/>
      <c r="D323" s="163"/>
      <c r="E323" s="163"/>
      <c r="F323" s="220"/>
      <c r="G323" s="220"/>
      <c r="H323" s="220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106"/>
    </row>
    <row r="324" spans="1:28" s="112" customFormat="1" x14ac:dyDescent="0.2">
      <c r="A324" s="117"/>
      <c r="B324" s="117"/>
      <c r="C324" s="162"/>
      <c r="D324" s="163"/>
      <c r="E324" s="163"/>
      <c r="F324" s="220"/>
      <c r="G324" s="220"/>
      <c r="H324" s="220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106"/>
    </row>
    <row r="325" spans="1:28" s="112" customFormat="1" x14ac:dyDescent="0.2">
      <c r="A325" s="117"/>
      <c r="B325" s="117"/>
      <c r="C325" s="162"/>
      <c r="D325" s="163"/>
      <c r="E325" s="163"/>
      <c r="F325" s="220"/>
      <c r="G325" s="220"/>
      <c r="H325" s="220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106"/>
    </row>
    <row r="326" spans="1:28" s="112" customFormat="1" x14ac:dyDescent="0.2">
      <c r="A326" s="117"/>
      <c r="B326" s="117"/>
      <c r="C326" s="162"/>
      <c r="D326" s="163"/>
      <c r="E326" s="163"/>
      <c r="F326" s="220"/>
      <c r="G326" s="220"/>
      <c r="H326" s="220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106"/>
    </row>
    <row r="327" spans="1:28" s="112" customFormat="1" x14ac:dyDescent="0.2">
      <c r="A327" s="117"/>
      <c r="B327" s="117"/>
      <c r="C327" s="162"/>
      <c r="D327" s="163"/>
      <c r="E327" s="163"/>
      <c r="F327" s="220"/>
      <c r="G327" s="220"/>
      <c r="H327" s="220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106"/>
    </row>
    <row r="328" spans="1:28" s="112" customFormat="1" x14ac:dyDescent="0.2">
      <c r="A328" s="117"/>
      <c r="B328" s="117"/>
      <c r="C328" s="162"/>
      <c r="D328" s="163"/>
      <c r="E328" s="163"/>
      <c r="F328" s="220"/>
      <c r="G328" s="220"/>
      <c r="H328" s="220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106"/>
    </row>
    <row r="329" spans="1:28" s="112" customFormat="1" x14ac:dyDescent="0.2">
      <c r="A329" s="117"/>
      <c r="B329" s="117"/>
      <c r="C329" s="162"/>
      <c r="D329" s="163"/>
      <c r="E329" s="163"/>
      <c r="F329" s="220"/>
      <c r="G329" s="220"/>
      <c r="H329" s="220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106"/>
    </row>
    <row r="330" spans="1:28" s="112" customFormat="1" x14ac:dyDescent="0.2">
      <c r="A330" s="117"/>
      <c r="B330" s="117"/>
      <c r="C330" s="162"/>
      <c r="D330" s="163"/>
      <c r="E330" s="163"/>
      <c r="F330" s="220"/>
      <c r="G330" s="220"/>
      <c r="H330" s="220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106"/>
    </row>
    <row r="331" spans="1:28" s="112" customFormat="1" x14ac:dyDescent="0.2">
      <c r="A331" s="117"/>
      <c r="B331" s="117"/>
      <c r="C331" s="162"/>
      <c r="D331" s="163"/>
      <c r="E331" s="163"/>
      <c r="F331" s="220"/>
      <c r="G331" s="220"/>
      <c r="H331" s="220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106"/>
    </row>
    <row r="332" spans="1:28" s="112" customFormat="1" x14ac:dyDescent="0.2">
      <c r="A332" s="117"/>
      <c r="B332" s="117"/>
      <c r="C332" s="162"/>
      <c r="D332" s="163"/>
      <c r="E332" s="163"/>
      <c r="F332" s="220"/>
      <c r="G332" s="220"/>
      <c r="H332" s="220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106"/>
    </row>
    <row r="333" spans="1:28" s="112" customFormat="1" x14ac:dyDescent="0.2">
      <c r="A333" s="117"/>
      <c r="B333" s="117"/>
      <c r="C333" s="162"/>
      <c r="D333" s="163"/>
      <c r="E333" s="163"/>
      <c r="F333" s="220"/>
      <c r="G333" s="220"/>
      <c r="H333" s="220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106"/>
    </row>
    <row r="334" spans="1:28" s="112" customFormat="1" x14ac:dyDescent="0.2">
      <c r="A334" s="117"/>
      <c r="B334" s="117"/>
      <c r="C334" s="162"/>
      <c r="D334" s="163"/>
      <c r="E334" s="163"/>
      <c r="F334" s="220"/>
      <c r="G334" s="220"/>
      <c r="H334" s="220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106"/>
    </row>
    <row r="335" spans="1:28" s="112" customFormat="1" x14ac:dyDescent="0.2">
      <c r="A335" s="117"/>
      <c r="B335" s="117"/>
      <c r="C335" s="162"/>
      <c r="D335" s="163"/>
      <c r="E335" s="163"/>
      <c r="F335" s="220"/>
      <c r="G335" s="220"/>
      <c r="H335" s="220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106"/>
    </row>
    <row r="336" spans="1:28" s="112" customFormat="1" x14ac:dyDescent="0.2">
      <c r="A336" s="117"/>
      <c r="B336" s="117"/>
      <c r="C336" s="162"/>
      <c r="D336" s="163"/>
      <c r="E336" s="163"/>
      <c r="F336" s="220"/>
      <c r="G336" s="220"/>
      <c r="H336" s="220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106"/>
    </row>
    <row r="337" spans="1:28" s="112" customFormat="1" x14ac:dyDescent="0.2">
      <c r="A337" s="117"/>
      <c r="B337" s="117"/>
      <c r="C337" s="162"/>
      <c r="D337" s="163"/>
      <c r="E337" s="163"/>
      <c r="F337" s="220"/>
      <c r="G337" s="220"/>
      <c r="H337" s="220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106"/>
    </row>
    <row r="338" spans="1:28" s="112" customFormat="1" x14ac:dyDescent="0.2">
      <c r="A338" s="117"/>
      <c r="B338" s="117"/>
      <c r="C338" s="162"/>
      <c r="D338" s="163"/>
      <c r="E338" s="163"/>
      <c r="F338" s="220"/>
      <c r="G338" s="220"/>
      <c r="H338" s="220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106"/>
    </row>
    <row r="339" spans="1:28" s="112" customFormat="1" x14ac:dyDescent="0.2">
      <c r="A339" s="117"/>
      <c r="B339" s="117"/>
      <c r="C339" s="162"/>
      <c r="D339" s="163"/>
      <c r="E339" s="163"/>
      <c r="F339" s="220"/>
      <c r="G339" s="220"/>
      <c r="H339" s="220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106"/>
    </row>
    <row r="340" spans="1:28" s="112" customFormat="1" x14ac:dyDescent="0.2">
      <c r="A340" s="117"/>
      <c r="B340" s="117"/>
      <c r="C340" s="162"/>
      <c r="D340" s="163"/>
      <c r="E340" s="163"/>
      <c r="F340" s="220"/>
      <c r="G340" s="220"/>
      <c r="H340" s="220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106"/>
    </row>
    <row r="341" spans="1:28" s="112" customFormat="1" x14ac:dyDescent="0.2">
      <c r="A341" s="117"/>
      <c r="B341" s="117"/>
      <c r="C341" s="162"/>
      <c r="D341" s="163"/>
      <c r="E341" s="163"/>
      <c r="F341" s="220"/>
      <c r="G341" s="220"/>
      <c r="H341" s="220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106"/>
    </row>
    <row r="342" spans="1:28" s="112" customFormat="1" x14ac:dyDescent="0.2">
      <c r="A342" s="117"/>
      <c r="B342" s="117"/>
      <c r="C342" s="162"/>
      <c r="D342" s="163"/>
      <c r="E342" s="163"/>
      <c r="F342" s="220"/>
      <c r="G342" s="220"/>
      <c r="H342" s="220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106"/>
    </row>
    <row r="343" spans="1:28" s="112" customFormat="1" x14ac:dyDescent="0.2">
      <c r="A343" s="117"/>
      <c r="B343" s="117"/>
      <c r="C343" s="162"/>
      <c r="D343" s="163"/>
      <c r="E343" s="163"/>
      <c r="F343" s="220"/>
      <c r="G343" s="220"/>
      <c r="H343" s="220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106"/>
    </row>
    <row r="344" spans="1:28" s="112" customFormat="1" x14ac:dyDescent="0.2">
      <c r="A344" s="117"/>
      <c r="B344" s="117"/>
      <c r="C344" s="162"/>
      <c r="D344" s="163"/>
      <c r="E344" s="163"/>
      <c r="F344" s="220"/>
      <c r="G344" s="220"/>
      <c r="H344" s="220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106"/>
    </row>
    <row r="345" spans="1:28" s="112" customFormat="1" x14ac:dyDescent="0.2">
      <c r="A345" s="117"/>
      <c r="B345" s="117"/>
      <c r="C345" s="162"/>
      <c r="D345" s="163"/>
      <c r="E345" s="163"/>
      <c r="F345" s="220"/>
      <c r="G345" s="220"/>
      <c r="H345" s="220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106"/>
    </row>
    <row r="346" spans="1:28" s="112" customFormat="1" x14ac:dyDescent="0.2">
      <c r="A346" s="117"/>
      <c r="B346" s="117"/>
      <c r="C346" s="162"/>
      <c r="D346" s="163"/>
      <c r="E346" s="163"/>
      <c r="F346" s="220"/>
      <c r="G346" s="220"/>
      <c r="H346" s="220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106"/>
    </row>
    <row r="347" spans="1:28" s="112" customFormat="1" x14ac:dyDescent="0.2">
      <c r="A347" s="117"/>
      <c r="B347" s="117"/>
      <c r="C347" s="162"/>
      <c r="D347" s="163"/>
      <c r="E347" s="163"/>
      <c r="F347" s="220"/>
      <c r="G347" s="220"/>
      <c r="H347" s="220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106"/>
    </row>
    <row r="348" spans="1:28" s="112" customFormat="1" x14ac:dyDescent="0.2">
      <c r="A348" s="117"/>
      <c r="B348" s="117"/>
      <c r="C348" s="162"/>
      <c r="D348" s="163"/>
      <c r="E348" s="163"/>
      <c r="F348" s="220"/>
      <c r="G348" s="220"/>
      <c r="H348" s="220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106"/>
    </row>
    <row r="349" spans="1:28" s="112" customFormat="1" x14ac:dyDescent="0.2">
      <c r="A349" s="117"/>
      <c r="B349" s="117"/>
      <c r="C349" s="162"/>
      <c r="D349" s="163"/>
      <c r="E349" s="163"/>
      <c r="F349" s="220"/>
      <c r="G349" s="220"/>
      <c r="H349" s="220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106"/>
    </row>
    <row r="350" spans="1:28" s="112" customFormat="1" x14ac:dyDescent="0.2">
      <c r="A350" s="117"/>
      <c r="B350" s="117"/>
      <c r="C350" s="162"/>
      <c r="D350" s="163"/>
      <c r="E350" s="163"/>
      <c r="F350" s="220"/>
      <c r="G350" s="220"/>
      <c r="H350" s="220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106"/>
    </row>
    <row r="351" spans="1:28" s="112" customFormat="1" x14ac:dyDescent="0.2">
      <c r="A351" s="117"/>
      <c r="B351" s="117"/>
      <c r="C351" s="162"/>
      <c r="D351" s="163"/>
      <c r="E351" s="163"/>
      <c r="F351" s="220"/>
      <c r="G351" s="220"/>
      <c r="H351" s="220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106"/>
    </row>
    <row r="352" spans="1:28" s="112" customFormat="1" x14ac:dyDescent="0.2">
      <c r="A352" s="117"/>
      <c r="B352" s="117"/>
      <c r="C352" s="162"/>
      <c r="D352" s="163"/>
      <c r="E352" s="163"/>
      <c r="F352" s="220"/>
      <c r="G352" s="220"/>
      <c r="H352" s="220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106"/>
    </row>
    <row r="353" spans="1:28" s="112" customFormat="1" x14ac:dyDescent="0.2">
      <c r="A353" s="117"/>
      <c r="B353" s="117"/>
      <c r="C353" s="162"/>
      <c r="D353" s="163"/>
      <c r="E353" s="163"/>
      <c r="F353" s="220"/>
      <c r="G353" s="220"/>
      <c r="H353" s="220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106"/>
    </row>
    <row r="354" spans="1:28" s="112" customFormat="1" x14ac:dyDescent="0.2">
      <c r="A354" s="117"/>
      <c r="B354" s="117"/>
      <c r="C354" s="162"/>
      <c r="D354" s="163"/>
      <c r="E354" s="163"/>
      <c r="F354" s="220"/>
      <c r="G354" s="220"/>
      <c r="H354" s="220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106"/>
    </row>
    <row r="355" spans="1:28" s="112" customFormat="1" x14ac:dyDescent="0.2">
      <c r="A355" s="117"/>
      <c r="B355" s="117"/>
      <c r="C355" s="162"/>
      <c r="D355" s="163"/>
      <c r="E355" s="163"/>
      <c r="F355" s="220"/>
      <c r="G355" s="220"/>
      <c r="H355" s="220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106"/>
    </row>
    <row r="356" spans="1:28" s="112" customFormat="1" x14ac:dyDescent="0.2">
      <c r="A356" s="117"/>
      <c r="B356" s="117"/>
      <c r="C356" s="162"/>
      <c r="D356" s="163"/>
      <c r="E356" s="163"/>
      <c r="F356" s="220"/>
      <c r="G356" s="220"/>
      <c r="H356" s="220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106"/>
    </row>
    <row r="357" spans="1:28" s="112" customFormat="1" x14ac:dyDescent="0.2">
      <c r="A357" s="117"/>
      <c r="B357" s="117"/>
      <c r="C357" s="162"/>
      <c r="D357" s="163"/>
      <c r="E357" s="163"/>
      <c r="F357" s="220"/>
      <c r="G357" s="220"/>
      <c r="H357" s="220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106"/>
    </row>
    <row r="358" spans="1:28" s="112" customFormat="1" x14ac:dyDescent="0.2">
      <c r="A358" s="117"/>
      <c r="B358" s="117"/>
      <c r="C358" s="162"/>
      <c r="D358" s="163"/>
      <c r="E358" s="163"/>
      <c r="F358" s="220"/>
      <c r="G358" s="220"/>
      <c r="H358" s="220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106"/>
    </row>
    <row r="359" spans="1:28" s="112" customFormat="1" x14ac:dyDescent="0.2">
      <c r="A359" s="117"/>
      <c r="B359" s="117"/>
      <c r="C359" s="162"/>
      <c r="D359" s="163"/>
      <c r="E359" s="163"/>
      <c r="F359" s="220"/>
      <c r="G359" s="220"/>
      <c r="H359" s="220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106"/>
    </row>
    <row r="360" spans="1:28" s="112" customFormat="1" x14ac:dyDescent="0.2">
      <c r="A360" s="117"/>
      <c r="B360" s="117"/>
      <c r="C360" s="162"/>
      <c r="D360" s="163"/>
      <c r="E360" s="163"/>
      <c r="F360" s="220"/>
      <c r="G360" s="220"/>
      <c r="H360" s="220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106"/>
    </row>
    <row r="361" spans="1:28" s="112" customFormat="1" x14ac:dyDescent="0.2">
      <c r="A361" s="117"/>
      <c r="B361" s="117"/>
      <c r="C361" s="162"/>
      <c r="D361" s="163"/>
      <c r="E361" s="163"/>
      <c r="F361" s="220"/>
      <c r="G361" s="220"/>
      <c r="H361" s="220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106"/>
    </row>
    <row r="362" spans="1:28" s="112" customFormat="1" x14ac:dyDescent="0.2">
      <c r="A362" s="117"/>
      <c r="B362" s="117"/>
      <c r="C362" s="162"/>
      <c r="D362" s="163"/>
      <c r="E362" s="163"/>
      <c r="F362" s="220"/>
      <c r="G362" s="220"/>
      <c r="H362" s="220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106"/>
    </row>
    <row r="363" spans="1:28" s="112" customFormat="1" x14ac:dyDescent="0.2">
      <c r="A363" s="117"/>
      <c r="B363" s="117"/>
      <c r="C363" s="162"/>
      <c r="D363" s="163"/>
      <c r="E363" s="163"/>
      <c r="F363" s="220"/>
      <c r="G363" s="220"/>
      <c r="H363" s="220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106"/>
    </row>
    <row r="364" spans="1:28" s="112" customFormat="1" x14ac:dyDescent="0.2">
      <c r="A364" s="117"/>
      <c r="B364" s="117"/>
      <c r="C364" s="162"/>
      <c r="D364" s="163"/>
      <c r="E364" s="163"/>
      <c r="F364" s="220"/>
      <c r="G364" s="220"/>
      <c r="H364" s="220"/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106"/>
    </row>
    <row r="365" spans="1:28" s="112" customFormat="1" x14ac:dyDescent="0.2">
      <c r="A365" s="117"/>
      <c r="B365" s="117"/>
      <c r="C365" s="162"/>
      <c r="D365" s="163"/>
      <c r="E365" s="163"/>
      <c r="F365" s="220"/>
      <c r="G365" s="220"/>
      <c r="H365" s="220"/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106"/>
    </row>
    <row r="366" spans="1:28" s="112" customFormat="1" x14ac:dyDescent="0.2">
      <c r="A366" s="117"/>
      <c r="B366" s="117"/>
      <c r="C366" s="162"/>
      <c r="D366" s="163"/>
      <c r="E366" s="163"/>
      <c r="F366" s="220"/>
      <c r="G366" s="220"/>
      <c r="H366" s="220"/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106"/>
    </row>
    <row r="367" spans="1:28" s="112" customFormat="1" x14ac:dyDescent="0.2">
      <c r="A367" s="117"/>
      <c r="B367" s="117"/>
      <c r="C367" s="162"/>
      <c r="D367" s="163"/>
      <c r="E367" s="163"/>
      <c r="F367" s="220"/>
      <c r="G367" s="220"/>
      <c r="H367" s="220"/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106"/>
    </row>
    <row r="368" spans="1:28" s="112" customFormat="1" x14ac:dyDescent="0.2">
      <c r="A368" s="117"/>
      <c r="B368" s="117"/>
      <c r="C368" s="162"/>
      <c r="D368" s="163"/>
      <c r="E368" s="163"/>
      <c r="F368" s="220"/>
      <c r="G368" s="220"/>
      <c r="H368" s="220"/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106"/>
    </row>
    <row r="369" spans="1:28" s="112" customFormat="1" x14ac:dyDescent="0.2">
      <c r="A369" s="117"/>
      <c r="B369" s="117"/>
      <c r="C369" s="162"/>
      <c r="D369" s="163"/>
      <c r="E369" s="163"/>
      <c r="F369" s="220"/>
      <c r="G369" s="220"/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106"/>
    </row>
    <row r="370" spans="1:28" s="112" customFormat="1" x14ac:dyDescent="0.2">
      <c r="A370" s="117"/>
      <c r="B370" s="117"/>
      <c r="C370" s="162"/>
      <c r="D370" s="163"/>
      <c r="E370" s="163"/>
      <c r="F370" s="220"/>
      <c r="G370" s="220"/>
      <c r="H370" s="220"/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106"/>
    </row>
    <row r="371" spans="1:28" s="112" customFormat="1" x14ac:dyDescent="0.2">
      <c r="A371" s="117"/>
      <c r="B371" s="117"/>
      <c r="C371" s="162"/>
      <c r="D371" s="163"/>
      <c r="E371" s="163"/>
      <c r="F371" s="220"/>
      <c r="G371" s="220"/>
      <c r="H371" s="220"/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106"/>
    </row>
    <row r="372" spans="1:28" s="112" customFormat="1" x14ac:dyDescent="0.2">
      <c r="A372" s="117"/>
      <c r="B372" s="117"/>
      <c r="C372" s="162"/>
      <c r="D372" s="163"/>
      <c r="E372" s="163"/>
      <c r="F372" s="220"/>
      <c r="G372" s="220"/>
      <c r="H372" s="220"/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106"/>
    </row>
    <row r="373" spans="1:28" s="112" customFormat="1" x14ac:dyDescent="0.2">
      <c r="A373" s="117"/>
      <c r="B373" s="117"/>
      <c r="C373" s="162"/>
      <c r="D373" s="163"/>
      <c r="E373" s="163"/>
      <c r="F373" s="220"/>
      <c r="G373" s="220"/>
      <c r="H373" s="220"/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106"/>
    </row>
    <row r="374" spans="1:28" s="112" customFormat="1" x14ac:dyDescent="0.2">
      <c r="A374" s="117"/>
      <c r="B374" s="117"/>
      <c r="C374" s="162"/>
      <c r="D374" s="163"/>
      <c r="E374" s="163"/>
      <c r="F374" s="220"/>
      <c r="G374" s="220"/>
      <c r="H374" s="220"/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106"/>
    </row>
    <row r="375" spans="1:28" s="112" customFormat="1" x14ac:dyDescent="0.2">
      <c r="A375" s="117"/>
      <c r="B375" s="117"/>
      <c r="C375" s="162"/>
      <c r="D375" s="163"/>
      <c r="E375" s="163"/>
      <c r="F375" s="220"/>
      <c r="G375" s="220"/>
      <c r="H375" s="220"/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106"/>
    </row>
    <row r="376" spans="1:28" s="112" customFormat="1" x14ac:dyDescent="0.2">
      <c r="A376" s="117"/>
      <c r="B376" s="117"/>
      <c r="C376" s="162"/>
      <c r="D376" s="163"/>
      <c r="E376" s="163"/>
      <c r="F376" s="220"/>
      <c r="G376" s="220"/>
      <c r="H376" s="220"/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106"/>
    </row>
    <row r="377" spans="1:28" s="112" customFormat="1" x14ac:dyDescent="0.2">
      <c r="A377" s="117"/>
      <c r="B377" s="117"/>
      <c r="C377" s="162"/>
      <c r="D377" s="163"/>
      <c r="E377" s="163"/>
      <c r="F377" s="220"/>
      <c r="G377" s="220"/>
      <c r="H377" s="220"/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106"/>
    </row>
    <row r="378" spans="1:28" s="112" customFormat="1" x14ac:dyDescent="0.2">
      <c r="A378" s="117"/>
      <c r="B378" s="117"/>
      <c r="C378" s="162"/>
      <c r="D378" s="163"/>
      <c r="E378" s="163"/>
      <c r="F378" s="220"/>
      <c r="G378" s="220"/>
      <c r="H378" s="220"/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106"/>
    </row>
    <row r="379" spans="1:28" s="112" customFormat="1" x14ac:dyDescent="0.2">
      <c r="A379" s="117"/>
      <c r="B379" s="117"/>
      <c r="C379" s="162"/>
      <c r="D379" s="163"/>
      <c r="E379" s="163"/>
      <c r="F379" s="220"/>
      <c r="G379" s="220"/>
      <c r="H379" s="220"/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106"/>
    </row>
    <row r="380" spans="1:28" s="112" customFormat="1" x14ac:dyDescent="0.2">
      <c r="A380" s="117"/>
      <c r="B380" s="117"/>
      <c r="C380" s="162"/>
      <c r="D380" s="163"/>
      <c r="E380" s="163"/>
      <c r="F380" s="220"/>
      <c r="G380" s="220"/>
      <c r="H380" s="220"/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106"/>
    </row>
    <row r="381" spans="1:28" s="112" customFormat="1" x14ac:dyDescent="0.2">
      <c r="A381" s="117"/>
      <c r="B381" s="117"/>
      <c r="C381" s="162"/>
      <c r="D381" s="163"/>
      <c r="E381" s="163"/>
      <c r="F381" s="220"/>
      <c r="G381" s="220"/>
      <c r="H381" s="220"/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106"/>
    </row>
    <row r="382" spans="1:28" s="112" customFormat="1" x14ac:dyDescent="0.2">
      <c r="A382" s="117"/>
      <c r="B382" s="117"/>
      <c r="C382" s="162"/>
      <c r="D382" s="163"/>
      <c r="E382" s="163"/>
      <c r="F382" s="220"/>
      <c r="G382" s="220"/>
      <c r="H382" s="220"/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106"/>
    </row>
    <row r="383" spans="1:28" s="112" customFormat="1" x14ac:dyDescent="0.2">
      <c r="A383" s="117"/>
      <c r="B383" s="117"/>
      <c r="C383" s="162"/>
      <c r="D383" s="163"/>
      <c r="E383" s="163"/>
      <c r="F383" s="220"/>
      <c r="G383" s="220"/>
      <c r="H383" s="220"/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106"/>
    </row>
    <row r="384" spans="1:28" s="112" customFormat="1" x14ac:dyDescent="0.2">
      <c r="A384" s="117"/>
      <c r="B384" s="117"/>
      <c r="C384" s="162"/>
      <c r="D384" s="163"/>
      <c r="E384" s="163"/>
      <c r="F384" s="220"/>
      <c r="G384" s="220"/>
      <c r="H384" s="220"/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106"/>
    </row>
    <row r="385" spans="1:28" s="112" customFormat="1" x14ac:dyDescent="0.2">
      <c r="A385" s="117"/>
      <c r="B385" s="117"/>
      <c r="C385" s="162"/>
      <c r="D385" s="163"/>
      <c r="E385" s="163"/>
      <c r="F385" s="220"/>
      <c r="G385" s="220"/>
      <c r="H385" s="220"/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106"/>
    </row>
    <row r="386" spans="1:28" s="112" customFormat="1" x14ac:dyDescent="0.2">
      <c r="A386" s="117"/>
      <c r="B386" s="117"/>
      <c r="C386" s="162"/>
      <c r="D386" s="163"/>
      <c r="E386" s="163"/>
      <c r="F386" s="220"/>
      <c r="G386" s="220"/>
      <c r="H386" s="220"/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106"/>
    </row>
    <row r="387" spans="1:28" s="112" customFormat="1" x14ac:dyDescent="0.2">
      <c r="A387" s="117"/>
      <c r="B387" s="117"/>
      <c r="C387" s="162"/>
      <c r="D387" s="163"/>
      <c r="E387" s="163"/>
      <c r="F387" s="220"/>
      <c r="G387" s="220"/>
      <c r="H387" s="220"/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106"/>
    </row>
    <row r="388" spans="1:28" s="112" customFormat="1" x14ac:dyDescent="0.2">
      <c r="A388" s="117"/>
      <c r="B388" s="117"/>
      <c r="C388" s="162"/>
      <c r="D388" s="163"/>
      <c r="E388" s="163"/>
      <c r="F388" s="220"/>
      <c r="G388" s="220"/>
      <c r="H388" s="220"/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106"/>
    </row>
    <row r="389" spans="1:28" s="112" customFormat="1" x14ac:dyDescent="0.2">
      <c r="A389" s="117"/>
      <c r="B389" s="117"/>
      <c r="C389" s="162"/>
      <c r="D389" s="163"/>
      <c r="E389" s="163"/>
      <c r="F389" s="220"/>
      <c r="G389" s="220"/>
      <c r="H389" s="220"/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106"/>
    </row>
    <row r="390" spans="1:28" s="112" customFormat="1" x14ac:dyDescent="0.2">
      <c r="A390" s="117"/>
      <c r="B390" s="117"/>
      <c r="C390" s="162"/>
      <c r="D390" s="163"/>
      <c r="E390" s="163"/>
      <c r="F390" s="220"/>
      <c r="G390" s="220"/>
      <c r="H390" s="220"/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106"/>
    </row>
    <row r="391" spans="1:28" s="112" customFormat="1" x14ac:dyDescent="0.2">
      <c r="A391" s="117"/>
      <c r="B391" s="117"/>
      <c r="C391" s="162"/>
      <c r="D391" s="163"/>
      <c r="E391" s="163"/>
      <c r="F391" s="220"/>
      <c r="G391" s="220"/>
      <c r="H391" s="220"/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106"/>
    </row>
    <row r="392" spans="1:28" s="112" customFormat="1" x14ac:dyDescent="0.2">
      <c r="A392" s="117"/>
      <c r="B392" s="117"/>
      <c r="C392" s="162"/>
      <c r="D392" s="163"/>
      <c r="E392" s="163"/>
      <c r="F392" s="220"/>
      <c r="G392" s="220"/>
      <c r="H392" s="220"/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106"/>
    </row>
    <row r="393" spans="1:28" s="112" customFormat="1" x14ac:dyDescent="0.2">
      <c r="A393" s="117"/>
      <c r="B393" s="117"/>
      <c r="C393" s="162"/>
      <c r="D393" s="163"/>
      <c r="E393" s="163"/>
      <c r="F393" s="220"/>
      <c r="G393" s="220"/>
      <c r="H393" s="220"/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106"/>
    </row>
    <row r="394" spans="1:28" s="112" customFormat="1" x14ac:dyDescent="0.2">
      <c r="A394" s="117"/>
      <c r="B394" s="117"/>
      <c r="C394" s="162"/>
      <c r="D394" s="163"/>
      <c r="E394" s="163"/>
      <c r="F394" s="220"/>
      <c r="G394" s="220"/>
      <c r="H394" s="220"/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106"/>
    </row>
    <row r="395" spans="1:28" s="112" customFormat="1" x14ac:dyDescent="0.2">
      <c r="A395" s="117"/>
      <c r="B395" s="117"/>
      <c r="C395" s="162"/>
      <c r="D395" s="163"/>
      <c r="E395" s="163"/>
      <c r="F395" s="220"/>
      <c r="G395" s="220"/>
      <c r="H395" s="220"/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106"/>
    </row>
    <row r="396" spans="1:28" s="112" customFormat="1" x14ac:dyDescent="0.2">
      <c r="A396" s="117"/>
      <c r="B396" s="117"/>
      <c r="C396" s="162"/>
      <c r="D396" s="163"/>
      <c r="E396" s="163"/>
      <c r="F396" s="220"/>
      <c r="G396" s="220"/>
      <c r="H396" s="220"/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106"/>
    </row>
    <row r="397" spans="1:28" s="112" customFormat="1" x14ac:dyDescent="0.2">
      <c r="A397" s="117"/>
      <c r="B397" s="117"/>
      <c r="C397" s="162"/>
      <c r="D397" s="163"/>
      <c r="E397" s="163"/>
      <c r="F397" s="220"/>
      <c r="G397" s="220"/>
      <c r="H397" s="220"/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106"/>
    </row>
    <row r="398" spans="1:28" s="112" customFormat="1" x14ac:dyDescent="0.2">
      <c r="A398" s="117"/>
      <c r="B398" s="117"/>
      <c r="C398" s="162"/>
      <c r="D398" s="163"/>
      <c r="E398" s="163"/>
      <c r="F398" s="220"/>
      <c r="G398" s="220"/>
      <c r="H398" s="220"/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106"/>
    </row>
    <row r="399" spans="1:28" s="112" customFormat="1" x14ac:dyDescent="0.2">
      <c r="A399" s="117"/>
      <c r="B399" s="117"/>
      <c r="C399" s="162"/>
      <c r="D399" s="163"/>
      <c r="E399" s="163"/>
      <c r="F399" s="220"/>
      <c r="G399" s="220"/>
      <c r="H399" s="220"/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106"/>
    </row>
    <row r="400" spans="1:28" s="112" customFormat="1" x14ac:dyDescent="0.2">
      <c r="A400" s="117"/>
      <c r="B400" s="117"/>
      <c r="C400" s="162"/>
      <c r="D400" s="163"/>
      <c r="E400" s="163"/>
      <c r="F400" s="220"/>
      <c r="G400" s="220"/>
      <c r="H400" s="220"/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106"/>
    </row>
    <row r="401" spans="1:28" s="112" customFormat="1" x14ac:dyDescent="0.2">
      <c r="A401" s="117"/>
      <c r="B401" s="117"/>
      <c r="C401" s="162"/>
      <c r="D401" s="163"/>
      <c r="E401" s="163"/>
      <c r="F401" s="220"/>
      <c r="G401" s="220"/>
      <c r="H401" s="220"/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106"/>
    </row>
    <row r="402" spans="1:28" s="112" customFormat="1" x14ac:dyDescent="0.2">
      <c r="A402" s="117"/>
      <c r="B402" s="117"/>
      <c r="C402" s="162"/>
      <c r="D402" s="163"/>
      <c r="E402" s="163"/>
      <c r="F402" s="220"/>
      <c r="G402" s="220"/>
      <c r="H402" s="220"/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106"/>
    </row>
    <row r="403" spans="1:28" s="112" customFormat="1" x14ac:dyDescent="0.2">
      <c r="A403" s="117"/>
      <c r="B403" s="117"/>
      <c r="C403" s="162"/>
      <c r="D403" s="163"/>
      <c r="E403" s="163"/>
      <c r="F403" s="220"/>
      <c r="G403" s="220"/>
      <c r="H403" s="220"/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106"/>
    </row>
    <row r="404" spans="1:28" s="112" customFormat="1" x14ac:dyDescent="0.2">
      <c r="A404" s="117"/>
      <c r="B404" s="117"/>
      <c r="C404" s="162"/>
      <c r="D404" s="163"/>
      <c r="E404" s="163"/>
      <c r="F404" s="220"/>
      <c r="G404" s="220"/>
      <c r="H404" s="220"/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106"/>
    </row>
    <row r="405" spans="1:28" s="112" customFormat="1" x14ac:dyDescent="0.2">
      <c r="A405" s="117"/>
      <c r="B405" s="117"/>
      <c r="C405" s="162"/>
      <c r="D405" s="163"/>
      <c r="E405" s="163"/>
      <c r="F405" s="220"/>
      <c r="G405" s="220"/>
      <c r="H405" s="220"/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106"/>
    </row>
    <row r="406" spans="1:28" s="112" customFormat="1" x14ac:dyDescent="0.2">
      <c r="A406" s="117"/>
      <c r="B406" s="117"/>
      <c r="C406" s="162"/>
      <c r="D406" s="163"/>
      <c r="E406" s="163"/>
      <c r="F406" s="220"/>
      <c r="G406" s="220"/>
      <c r="H406" s="220"/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106"/>
    </row>
    <row r="407" spans="1:28" s="112" customFormat="1" x14ac:dyDescent="0.2">
      <c r="A407" s="117"/>
      <c r="B407" s="117"/>
      <c r="C407" s="162"/>
      <c r="D407" s="163"/>
      <c r="E407" s="163"/>
      <c r="F407" s="220"/>
      <c r="G407" s="220"/>
      <c r="H407" s="220"/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106"/>
    </row>
    <row r="408" spans="1:28" s="112" customFormat="1" x14ac:dyDescent="0.2">
      <c r="A408" s="117"/>
      <c r="B408" s="117"/>
      <c r="C408" s="162"/>
      <c r="D408" s="163"/>
      <c r="E408" s="163"/>
      <c r="F408" s="220"/>
      <c r="G408" s="220"/>
      <c r="H408" s="220"/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106"/>
    </row>
    <row r="409" spans="1:28" s="112" customFormat="1" x14ac:dyDescent="0.2">
      <c r="A409" s="117"/>
      <c r="B409" s="117"/>
      <c r="C409" s="162"/>
      <c r="D409" s="163"/>
      <c r="E409" s="163"/>
      <c r="F409" s="220"/>
      <c r="G409" s="220"/>
      <c r="H409" s="220"/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106"/>
    </row>
    <row r="410" spans="1:28" s="112" customFormat="1" x14ac:dyDescent="0.2">
      <c r="A410" s="117"/>
      <c r="B410" s="117"/>
      <c r="C410" s="162"/>
      <c r="D410" s="163"/>
      <c r="E410" s="163"/>
      <c r="F410" s="220"/>
      <c r="G410" s="220"/>
      <c r="H410" s="220"/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106"/>
    </row>
    <row r="411" spans="1:28" s="112" customFormat="1" x14ac:dyDescent="0.2">
      <c r="A411" s="117"/>
      <c r="B411" s="117"/>
      <c r="C411" s="162"/>
      <c r="D411" s="163"/>
      <c r="E411" s="163"/>
      <c r="F411" s="220"/>
      <c r="G411" s="220"/>
      <c r="H411" s="220"/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106"/>
    </row>
    <row r="412" spans="1:28" s="112" customFormat="1" x14ac:dyDescent="0.2">
      <c r="A412" s="117"/>
      <c r="B412" s="117"/>
      <c r="C412" s="162"/>
      <c r="D412" s="163"/>
      <c r="E412" s="163"/>
      <c r="F412" s="220"/>
      <c r="G412" s="220"/>
      <c r="H412" s="220"/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106"/>
    </row>
    <row r="413" spans="1:28" s="112" customFormat="1" x14ac:dyDescent="0.2">
      <c r="A413" s="117"/>
      <c r="B413" s="117"/>
      <c r="C413" s="162"/>
      <c r="D413" s="163"/>
      <c r="E413" s="163"/>
      <c r="F413" s="220"/>
      <c r="G413" s="220"/>
      <c r="H413" s="220"/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106"/>
    </row>
    <row r="414" spans="1:28" s="112" customFormat="1" x14ac:dyDescent="0.2">
      <c r="A414" s="117"/>
      <c r="B414" s="117"/>
      <c r="C414" s="162"/>
      <c r="D414" s="163"/>
      <c r="E414" s="163"/>
      <c r="F414" s="220"/>
      <c r="G414" s="220"/>
      <c r="H414" s="220"/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106"/>
    </row>
    <row r="415" spans="1:28" s="112" customFormat="1" x14ac:dyDescent="0.2">
      <c r="A415" s="117"/>
      <c r="B415" s="117"/>
      <c r="C415" s="162"/>
      <c r="D415" s="163"/>
      <c r="E415" s="163"/>
      <c r="F415" s="220"/>
      <c r="G415" s="220"/>
      <c r="H415" s="220"/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106"/>
    </row>
    <row r="416" spans="1:28" s="112" customFormat="1" x14ac:dyDescent="0.2">
      <c r="A416" s="117"/>
      <c r="B416" s="117"/>
      <c r="C416" s="162"/>
      <c r="D416" s="163"/>
      <c r="E416" s="163"/>
      <c r="F416" s="220"/>
      <c r="G416" s="220"/>
      <c r="H416" s="220"/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106"/>
    </row>
    <row r="417" spans="1:28" s="112" customFormat="1" x14ac:dyDescent="0.2">
      <c r="A417" s="117"/>
      <c r="B417" s="117"/>
      <c r="C417" s="162"/>
      <c r="D417" s="163"/>
      <c r="E417" s="163"/>
      <c r="F417" s="220"/>
      <c r="G417" s="220"/>
      <c r="H417" s="220"/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106"/>
    </row>
    <row r="418" spans="1:28" s="112" customFormat="1" x14ac:dyDescent="0.2">
      <c r="A418" s="117"/>
      <c r="B418" s="117"/>
      <c r="C418" s="162"/>
      <c r="D418" s="163"/>
      <c r="E418" s="163"/>
      <c r="F418" s="220"/>
      <c r="G418" s="220"/>
      <c r="H418" s="220"/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106"/>
    </row>
    <row r="419" spans="1:28" s="112" customFormat="1" x14ac:dyDescent="0.2">
      <c r="A419" s="117"/>
      <c r="B419" s="117"/>
      <c r="C419" s="162"/>
      <c r="D419" s="163"/>
      <c r="E419" s="163"/>
      <c r="F419" s="220"/>
      <c r="G419" s="220"/>
      <c r="H419" s="220"/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106"/>
    </row>
    <row r="420" spans="1:28" s="112" customFormat="1" x14ac:dyDescent="0.2">
      <c r="A420" s="117"/>
      <c r="B420" s="117"/>
      <c r="C420" s="162"/>
      <c r="D420" s="163"/>
      <c r="E420" s="163"/>
      <c r="F420" s="220"/>
      <c r="G420" s="220"/>
      <c r="H420" s="220"/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106"/>
    </row>
    <row r="421" spans="1:28" s="112" customFormat="1" x14ac:dyDescent="0.2">
      <c r="A421" s="117"/>
      <c r="B421" s="117"/>
      <c r="C421" s="162"/>
      <c r="D421" s="163"/>
      <c r="E421" s="163"/>
      <c r="F421" s="220"/>
      <c r="G421" s="220"/>
      <c r="H421" s="220"/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106"/>
    </row>
    <row r="422" spans="1:28" s="112" customFormat="1" x14ac:dyDescent="0.2">
      <c r="A422" s="117"/>
      <c r="B422" s="117"/>
      <c r="C422" s="162"/>
      <c r="D422" s="163"/>
      <c r="E422" s="163"/>
      <c r="F422" s="220"/>
      <c r="G422" s="220"/>
      <c r="H422" s="220"/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106"/>
    </row>
    <row r="423" spans="1:28" s="112" customFormat="1" x14ac:dyDescent="0.2">
      <c r="A423" s="117"/>
      <c r="B423" s="117"/>
      <c r="C423" s="162"/>
      <c r="D423" s="163"/>
      <c r="E423" s="163"/>
      <c r="F423" s="220"/>
      <c r="G423" s="220"/>
      <c r="H423" s="220"/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106"/>
    </row>
    <row r="424" spans="1:28" s="112" customFormat="1" x14ac:dyDescent="0.2">
      <c r="A424" s="117"/>
      <c r="B424" s="117"/>
      <c r="C424" s="162"/>
      <c r="D424" s="163"/>
      <c r="E424" s="163"/>
      <c r="F424" s="220"/>
      <c r="G424" s="220"/>
      <c r="H424" s="220"/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106"/>
    </row>
    <row r="425" spans="1:28" s="112" customFormat="1" x14ac:dyDescent="0.2">
      <c r="A425" s="117"/>
      <c r="B425" s="117"/>
      <c r="C425" s="162"/>
      <c r="D425" s="163"/>
      <c r="E425" s="163"/>
      <c r="F425" s="220"/>
      <c r="G425" s="220"/>
      <c r="H425" s="220"/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106"/>
    </row>
    <row r="426" spans="1:28" s="112" customFormat="1" x14ac:dyDescent="0.2">
      <c r="A426" s="117"/>
      <c r="B426" s="117"/>
      <c r="C426" s="162"/>
      <c r="D426" s="163"/>
      <c r="E426" s="163"/>
      <c r="F426" s="220"/>
      <c r="G426" s="220"/>
      <c r="H426" s="220"/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106"/>
    </row>
    <row r="427" spans="1:28" s="112" customFormat="1" x14ac:dyDescent="0.2">
      <c r="A427" s="117"/>
      <c r="B427" s="117"/>
      <c r="C427" s="162"/>
      <c r="D427" s="163"/>
      <c r="E427" s="163"/>
      <c r="F427" s="220"/>
      <c r="G427" s="220"/>
      <c r="H427" s="220"/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106"/>
    </row>
    <row r="428" spans="1:28" s="112" customFormat="1" x14ac:dyDescent="0.2">
      <c r="A428" s="117"/>
      <c r="B428" s="117"/>
      <c r="C428" s="162"/>
      <c r="D428" s="163"/>
      <c r="E428" s="163"/>
      <c r="F428" s="220"/>
      <c r="G428" s="220"/>
      <c r="H428" s="220"/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106"/>
    </row>
    <row r="429" spans="1:28" s="112" customFormat="1" x14ac:dyDescent="0.2">
      <c r="A429" s="117"/>
      <c r="B429" s="117"/>
      <c r="C429" s="162"/>
      <c r="D429" s="163"/>
      <c r="E429" s="163"/>
      <c r="F429" s="220"/>
      <c r="G429" s="220"/>
      <c r="H429" s="220"/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106"/>
    </row>
    <row r="430" spans="1:28" s="112" customFormat="1" x14ac:dyDescent="0.2">
      <c r="A430" s="117"/>
      <c r="B430" s="117"/>
      <c r="C430" s="162"/>
      <c r="D430" s="163"/>
      <c r="E430" s="163"/>
      <c r="F430" s="220"/>
      <c r="G430" s="220"/>
      <c r="H430" s="220"/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106"/>
    </row>
    <row r="431" spans="1:28" s="112" customFormat="1" x14ac:dyDescent="0.2">
      <c r="A431" s="117"/>
      <c r="B431" s="117"/>
      <c r="C431" s="162"/>
      <c r="D431" s="163"/>
      <c r="E431" s="163"/>
      <c r="F431" s="220"/>
      <c r="G431" s="220"/>
      <c r="H431" s="220"/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106"/>
    </row>
    <row r="432" spans="1:28" s="112" customFormat="1" x14ac:dyDescent="0.2">
      <c r="A432" s="117"/>
      <c r="B432" s="117"/>
      <c r="C432" s="162"/>
      <c r="D432" s="163"/>
      <c r="E432" s="163"/>
      <c r="F432" s="220"/>
      <c r="G432" s="220"/>
      <c r="H432" s="220"/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106"/>
    </row>
    <row r="433" spans="1:28" s="112" customFormat="1" x14ac:dyDescent="0.2">
      <c r="A433" s="117"/>
      <c r="B433" s="117"/>
      <c r="C433" s="162"/>
      <c r="D433" s="163"/>
      <c r="E433" s="163"/>
      <c r="F433" s="220"/>
      <c r="G433" s="220"/>
      <c r="H433" s="220"/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106"/>
    </row>
    <row r="434" spans="1:28" s="112" customFormat="1" x14ac:dyDescent="0.2">
      <c r="A434" s="117"/>
      <c r="B434" s="117"/>
      <c r="C434" s="162"/>
      <c r="D434" s="163"/>
      <c r="E434" s="163"/>
      <c r="F434" s="220"/>
      <c r="G434" s="220"/>
      <c r="H434" s="220"/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106"/>
    </row>
    <row r="435" spans="1:28" s="112" customFormat="1" x14ac:dyDescent="0.2">
      <c r="A435" s="117"/>
      <c r="B435" s="117"/>
      <c r="C435" s="162"/>
      <c r="D435" s="163"/>
      <c r="E435" s="163"/>
      <c r="F435" s="220"/>
      <c r="G435" s="220"/>
      <c r="H435" s="220"/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106"/>
    </row>
    <row r="436" spans="1:28" s="112" customFormat="1" x14ac:dyDescent="0.2">
      <c r="A436" s="117"/>
      <c r="B436" s="117"/>
      <c r="C436" s="162"/>
      <c r="D436" s="163"/>
      <c r="E436" s="163"/>
      <c r="F436" s="220"/>
      <c r="G436" s="220"/>
      <c r="H436" s="220"/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106"/>
    </row>
    <row r="437" spans="1:28" s="112" customFormat="1" x14ac:dyDescent="0.2">
      <c r="A437" s="117"/>
      <c r="B437" s="117"/>
      <c r="C437" s="162"/>
      <c r="D437" s="163"/>
      <c r="E437" s="163"/>
      <c r="F437" s="220"/>
      <c r="G437" s="220"/>
      <c r="H437" s="220"/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106"/>
    </row>
    <row r="438" spans="1:28" s="112" customFormat="1" x14ac:dyDescent="0.2">
      <c r="A438" s="117"/>
      <c r="B438" s="117"/>
      <c r="C438" s="162"/>
      <c r="D438" s="163"/>
      <c r="E438" s="163"/>
      <c r="F438" s="220"/>
      <c r="G438" s="220"/>
      <c r="H438" s="220"/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106"/>
    </row>
    <row r="439" spans="1:28" s="112" customFormat="1" x14ac:dyDescent="0.2">
      <c r="A439" s="117"/>
      <c r="B439" s="117"/>
      <c r="C439" s="162"/>
      <c r="D439" s="163"/>
      <c r="E439" s="163"/>
      <c r="F439" s="220"/>
      <c r="G439" s="220"/>
      <c r="H439" s="220"/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106"/>
    </row>
    <row r="440" spans="1:28" s="112" customFormat="1" x14ac:dyDescent="0.2">
      <c r="A440" s="117"/>
      <c r="B440" s="117"/>
      <c r="C440" s="162"/>
      <c r="D440" s="163"/>
      <c r="E440" s="163"/>
      <c r="F440" s="220"/>
      <c r="G440" s="220"/>
      <c r="H440" s="220"/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106"/>
    </row>
    <row r="441" spans="1:28" s="112" customFormat="1" x14ac:dyDescent="0.2">
      <c r="A441" s="117"/>
      <c r="B441" s="117"/>
      <c r="C441" s="162"/>
      <c r="D441" s="163"/>
      <c r="E441" s="163"/>
      <c r="F441" s="220"/>
      <c r="G441" s="220"/>
      <c r="H441" s="220"/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106"/>
    </row>
    <row r="442" spans="1:28" s="112" customFormat="1" x14ac:dyDescent="0.2">
      <c r="A442" s="117"/>
      <c r="B442" s="117"/>
      <c r="C442" s="162"/>
      <c r="D442" s="163"/>
      <c r="E442" s="163"/>
      <c r="F442" s="220"/>
      <c r="G442" s="220"/>
      <c r="H442" s="220"/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106"/>
    </row>
    <row r="443" spans="1:28" s="112" customFormat="1" x14ac:dyDescent="0.2">
      <c r="A443" s="117"/>
      <c r="B443" s="117"/>
      <c r="C443" s="162"/>
      <c r="D443" s="163"/>
      <c r="E443" s="163"/>
      <c r="F443" s="220"/>
      <c r="G443" s="220"/>
      <c r="H443" s="220"/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106"/>
    </row>
    <row r="444" spans="1:28" s="112" customFormat="1" x14ac:dyDescent="0.2">
      <c r="A444" s="117"/>
      <c r="B444" s="117"/>
      <c r="C444" s="162"/>
      <c r="D444" s="163"/>
      <c r="E444" s="163"/>
      <c r="F444" s="220"/>
      <c r="G444" s="220"/>
      <c r="H444" s="220"/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106"/>
    </row>
    <row r="445" spans="1:28" s="112" customFormat="1" x14ac:dyDescent="0.2">
      <c r="A445" s="117"/>
      <c r="B445" s="117"/>
      <c r="C445" s="162"/>
      <c r="D445" s="163"/>
      <c r="E445" s="163"/>
      <c r="F445" s="220"/>
      <c r="G445" s="220"/>
      <c r="H445" s="220"/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106"/>
    </row>
    <row r="446" spans="1:28" s="112" customFormat="1" x14ac:dyDescent="0.2">
      <c r="A446" s="117"/>
      <c r="B446" s="117"/>
      <c r="C446" s="162"/>
      <c r="D446" s="163"/>
      <c r="E446" s="163"/>
      <c r="F446" s="220"/>
      <c r="G446" s="220"/>
      <c r="H446" s="220"/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106"/>
    </row>
    <row r="447" spans="1:28" s="112" customFormat="1" x14ac:dyDescent="0.2">
      <c r="A447" s="117"/>
      <c r="B447" s="117"/>
      <c r="C447" s="162"/>
      <c r="D447" s="163"/>
      <c r="E447" s="163"/>
      <c r="F447" s="220"/>
      <c r="G447" s="220"/>
      <c r="H447" s="220"/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106"/>
    </row>
    <row r="448" spans="1:28" s="112" customFormat="1" x14ac:dyDescent="0.2">
      <c r="A448" s="117"/>
      <c r="B448" s="117"/>
      <c r="C448" s="162"/>
      <c r="D448" s="163"/>
      <c r="E448" s="163"/>
      <c r="F448" s="220"/>
      <c r="G448" s="220"/>
      <c r="H448" s="220"/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106"/>
    </row>
    <row r="449" spans="1:28" s="112" customFormat="1" x14ac:dyDescent="0.2">
      <c r="A449" s="117"/>
      <c r="B449" s="117"/>
      <c r="C449" s="162"/>
      <c r="D449" s="163"/>
      <c r="E449" s="163"/>
      <c r="F449" s="220"/>
      <c r="G449" s="220"/>
      <c r="H449" s="220"/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106"/>
    </row>
    <row r="450" spans="1:28" s="112" customFormat="1" x14ac:dyDescent="0.2">
      <c r="A450" s="117"/>
      <c r="B450" s="117"/>
      <c r="C450" s="162"/>
      <c r="D450" s="163"/>
      <c r="E450" s="163"/>
      <c r="F450" s="220"/>
      <c r="G450" s="220"/>
      <c r="H450" s="220"/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106"/>
    </row>
    <row r="451" spans="1:28" s="112" customFormat="1" x14ac:dyDescent="0.2">
      <c r="A451" s="117"/>
      <c r="B451" s="117"/>
      <c r="C451" s="162"/>
      <c r="D451" s="163"/>
      <c r="E451" s="163"/>
      <c r="F451" s="220"/>
      <c r="G451" s="220"/>
      <c r="H451" s="220"/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106"/>
    </row>
    <row r="452" spans="1:28" s="112" customFormat="1" x14ac:dyDescent="0.2">
      <c r="A452" s="117"/>
      <c r="B452" s="117"/>
      <c r="C452" s="162"/>
      <c r="D452" s="163"/>
      <c r="E452" s="163"/>
      <c r="F452" s="220"/>
      <c r="G452" s="220"/>
      <c r="H452" s="220"/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106"/>
    </row>
    <row r="453" spans="1:28" s="112" customFormat="1" x14ac:dyDescent="0.2">
      <c r="A453" s="117"/>
      <c r="B453" s="117"/>
      <c r="C453" s="162"/>
      <c r="D453" s="163"/>
      <c r="E453" s="163"/>
      <c r="F453" s="220"/>
      <c r="G453" s="220"/>
      <c r="H453" s="220"/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106"/>
    </row>
    <row r="454" spans="1:28" s="112" customFormat="1" x14ac:dyDescent="0.2">
      <c r="A454" s="117"/>
      <c r="B454" s="117"/>
      <c r="C454" s="162"/>
      <c r="D454" s="163"/>
      <c r="E454" s="163"/>
      <c r="F454" s="220"/>
      <c r="G454" s="220"/>
      <c r="H454" s="220"/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106"/>
    </row>
    <row r="455" spans="1:28" s="112" customFormat="1" x14ac:dyDescent="0.2">
      <c r="A455" s="117"/>
      <c r="B455" s="117"/>
      <c r="C455" s="162"/>
      <c r="D455" s="163"/>
      <c r="E455" s="163"/>
      <c r="F455" s="220"/>
      <c r="G455" s="220"/>
      <c r="H455" s="220"/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106"/>
    </row>
    <row r="456" spans="1:28" s="112" customFormat="1" x14ac:dyDescent="0.2">
      <c r="A456" s="117"/>
      <c r="B456" s="117"/>
      <c r="C456" s="162"/>
      <c r="D456" s="163"/>
      <c r="E456" s="163"/>
      <c r="F456" s="220"/>
      <c r="G456" s="220"/>
      <c r="H456" s="220"/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106"/>
    </row>
    <row r="457" spans="1:28" s="112" customFormat="1" x14ac:dyDescent="0.2">
      <c r="A457" s="117"/>
      <c r="B457" s="117"/>
      <c r="C457" s="162"/>
      <c r="D457" s="163"/>
      <c r="E457" s="163"/>
      <c r="F457" s="220"/>
      <c r="G457" s="220"/>
      <c r="H457" s="220"/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106"/>
    </row>
    <row r="458" spans="1:28" s="112" customFormat="1" x14ac:dyDescent="0.2">
      <c r="A458" s="117"/>
      <c r="B458" s="117"/>
      <c r="C458" s="162"/>
      <c r="D458" s="163"/>
      <c r="E458" s="163"/>
      <c r="F458" s="220"/>
      <c r="G458" s="220"/>
      <c r="H458" s="220"/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106"/>
    </row>
    <row r="459" spans="1:28" s="112" customFormat="1" x14ac:dyDescent="0.2">
      <c r="A459" s="117"/>
      <c r="B459" s="117"/>
      <c r="C459" s="162"/>
      <c r="D459" s="163"/>
      <c r="E459" s="163"/>
      <c r="F459" s="220"/>
      <c r="G459" s="220"/>
      <c r="H459" s="220"/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106"/>
    </row>
    <row r="460" spans="1:28" s="112" customFormat="1" x14ac:dyDescent="0.2">
      <c r="A460" s="117"/>
      <c r="B460" s="117"/>
      <c r="C460" s="162"/>
      <c r="D460" s="163"/>
      <c r="E460" s="163"/>
      <c r="F460" s="220"/>
      <c r="G460" s="220"/>
      <c r="H460" s="220"/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106"/>
    </row>
    <row r="461" spans="1:28" s="112" customFormat="1" x14ac:dyDescent="0.2">
      <c r="A461" s="117"/>
      <c r="B461" s="117"/>
      <c r="C461" s="162"/>
      <c r="D461" s="163"/>
      <c r="E461" s="163"/>
      <c r="F461" s="220"/>
      <c r="G461" s="220"/>
      <c r="H461" s="220"/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106"/>
    </row>
    <row r="462" spans="1:28" s="112" customFormat="1" x14ac:dyDescent="0.2">
      <c r="A462" s="117"/>
      <c r="B462" s="117"/>
      <c r="C462" s="162"/>
      <c r="D462" s="163"/>
      <c r="E462" s="163"/>
      <c r="F462" s="220"/>
      <c r="G462" s="220"/>
      <c r="H462" s="220"/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106"/>
    </row>
    <row r="463" spans="1:28" s="112" customFormat="1" x14ac:dyDescent="0.2">
      <c r="A463" s="117"/>
      <c r="B463" s="117"/>
      <c r="C463" s="162"/>
      <c r="D463" s="163"/>
      <c r="E463" s="163"/>
      <c r="F463" s="220"/>
      <c r="G463" s="220"/>
      <c r="H463" s="220"/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106"/>
    </row>
    <row r="464" spans="1:28" s="112" customFormat="1" x14ac:dyDescent="0.2">
      <c r="A464" s="117"/>
      <c r="B464" s="117"/>
      <c r="C464" s="162"/>
      <c r="D464" s="163"/>
      <c r="E464" s="163"/>
      <c r="F464" s="220"/>
      <c r="G464" s="220"/>
      <c r="H464" s="220"/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106"/>
    </row>
    <row r="465" spans="1:28" s="112" customFormat="1" x14ac:dyDescent="0.2">
      <c r="A465" s="117"/>
      <c r="B465" s="117"/>
      <c r="C465" s="162"/>
      <c r="D465" s="163"/>
      <c r="E465" s="163"/>
      <c r="F465" s="220"/>
      <c r="G465" s="220"/>
      <c r="H465" s="220"/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106"/>
    </row>
    <row r="466" spans="1:28" s="112" customFormat="1" x14ac:dyDescent="0.2">
      <c r="A466" s="117"/>
      <c r="B466" s="117"/>
      <c r="C466" s="162"/>
      <c r="D466" s="163"/>
      <c r="E466" s="163"/>
      <c r="F466" s="220"/>
      <c r="G466" s="220"/>
      <c r="H466" s="220"/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106"/>
    </row>
    <row r="467" spans="1:28" s="112" customFormat="1" x14ac:dyDescent="0.2">
      <c r="A467" s="117"/>
      <c r="B467" s="117"/>
      <c r="C467" s="162"/>
      <c r="D467" s="163"/>
      <c r="E467" s="163"/>
      <c r="F467" s="220"/>
      <c r="G467" s="220"/>
      <c r="H467" s="220"/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106"/>
    </row>
    <row r="468" spans="1:28" s="112" customFormat="1" x14ac:dyDescent="0.2">
      <c r="A468" s="117"/>
      <c r="B468" s="117"/>
      <c r="C468" s="162"/>
      <c r="D468" s="163"/>
      <c r="E468" s="163"/>
      <c r="F468" s="220"/>
      <c r="G468" s="220"/>
      <c r="H468" s="220"/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106"/>
    </row>
    <row r="469" spans="1:28" s="112" customFormat="1" x14ac:dyDescent="0.2">
      <c r="A469" s="117"/>
      <c r="B469" s="117"/>
      <c r="C469" s="162"/>
      <c r="D469" s="163"/>
      <c r="E469" s="163"/>
      <c r="F469" s="220"/>
      <c r="G469" s="220"/>
      <c r="H469" s="220"/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106"/>
    </row>
    <row r="470" spans="1:28" s="112" customFormat="1" x14ac:dyDescent="0.2">
      <c r="A470" s="117"/>
      <c r="B470" s="117"/>
      <c r="C470" s="162"/>
      <c r="D470" s="163"/>
      <c r="E470" s="163"/>
      <c r="F470" s="220"/>
      <c r="G470" s="220"/>
      <c r="H470" s="220"/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106"/>
    </row>
    <row r="471" spans="1:28" s="112" customFormat="1" x14ac:dyDescent="0.2">
      <c r="A471" s="117"/>
      <c r="B471" s="117"/>
      <c r="C471" s="162"/>
      <c r="D471" s="163"/>
      <c r="E471" s="163"/>
      <c r="F471" s="220"/>
      <c r="G471" s="220"/>
      <c r="H471" s="220"/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106"/>
    </row>
    <row r="472" spans="1:28" s="112" customFormat="1" x14ac:dyDescent="0.2">
      <c r="A472" s="117"/>
      <c r="B472" s="117"/>
      <c r="C472" s="162"/>
      <c r="D472" s="163"/>
      <c r="E472" s="163"/>
      <c r="F472" s="220"/>
      <c r="G472" s="220"/>
      <c r="H472" s="220"/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106"/>
    </row>
    <row r="473" spans="1:28" s="112" customFormat="1" x14ac:dyDescent="0.2">
      <c r="A473" s="117"/>
      <c r="B473" s="117"/>
      <c r="C473" s="162"/>
      <c r="D473" s="163"/>
      <c r="E473" s="163"/>
      <c r="F473" s="220"/>
      <c r="G473" s="220"/>
      <c r="H473" s="220"/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106"/>
    </row>
    <row r="474" spans="1:28" s="112" customFormat="1" x14ac:dyDescent="0.2">
      <c r="A474" s="117"/>
      <c r="B474" s="117"/>
      <c r="C474" s="162"/>
      <c r="D474" s="163"/>
      <c r="E474" s="163"/>
      <c r="F474" s="220"/>
      <c r="G474" s="220"/>
      <c r="H474" s="220"/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106"/>
    </row>
    <row r="475" spans="1:28" s="112" customFormat="1" x14ac:dyDescent="0.2">
      <c r="A475" s="117"/>
      <c r="B475" s="117"/>
      <c r="C475" s="162"/>
      <c r="D475" s="163"/>
      <c r="E475" s="163"/>
      <c r="F475" s="220"/>
      <c r="G475" s="220"/>
      <c r="H475" s="220"/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106"/>
    </row>
    <row r="476" spans="1:28" s="112" customFormat="1" x14ac:dyDescent="0.2">
      <c r="A476" s="117"/>
      <c r="B476" s="117"/>
      <c r="C476" s="162"/>
      <c r="D476" s="163"/>
      <c r="E476" s="163"/>
      <c r="F476" s="220"/>
      <c r="G476" s="220"/>
      <c r="H476" s="220"/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106"/>
    </row>
    <row r="477" spans="1:28" s="112" customFormat="1" x14ac:dyDescent="0.2">
      <c r="A477" s="117"/>
      <c r="B477" s="117"/>
      <c r="C477" s="162"/>
      <c r="D477" s="163"/>
      <c r="E477" s="163"/>
      <c r="F477" s="220"/>
      <c r="G477" s="220"/>
      <c r="H477" s="220"/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106"/>
    </row>
    <row r="478" spans="1:28" s="112" customFormat="1" x14ac:dyDescent="0.2">
      <c r="A478" s="117"/>
      <c r="B478" s="117"/>
      <c r="C478" s="162"/>
      <c r="D478" s="163"/>
      <c r="E478" s="163"/>
      <c r="F478" s="220"/>
      <c r="G478" s="220"/>
      <c r="H478" s="220"/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106"/>
    </row>
    <row r="479" spans="1:28" s="112" customFormat="1" x14ac:dyDescent="0.2">
      <c r="A479" s="117"/>
      <c r="B479" s="117"/>
      <c r="C479" s="162"/>
      <c r="D479" s="163"/>
      <c r="E479" s="163"/>
      <c r="F479" s="220"/>
      <c r="G479" s="220"/>
      <c r="H479" s="220"/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106"/>
    </row>
    <row r="480" spans="1:28" s="112" customFormat="1" x14ac:dyDescent="0.2">
      <c r="A480" s="117"/>
      <c r="B480" s="117"/>
      <c r="C480" s="162"/>
      <c r="D480" s="163"/>
      <c r="E480" s="163"/>
      <c r="F480" s="220"/>
      <c r="G480" s="220"/>
      <c r="H480" s="220"/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106"/>
    </row>
    <row r="481" spans="1:28" s="112" customFormat="1" x14ac:dyDescent="0.2">
      <c r="A481" s="117"/>
      <c r="B481" s="117"/>
      <c r="C481" s="162"/>
      <c r="D481" s="163"/>
      <c r="E481" s="163"/>
      <c r="F481" s="220"/>
      <c r="G481" s="220"/>
      <c r="H481" s="220"/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106"/>
    </row>
    <row r="482" spans="1:28" s="112" customFormat="1" x14ac:dyDescent="0.2">
      <c r="A482" s="117"/>
      <c r="B482" s="117"/>
      <c r="C482" s="162"/>
      <c r="D482" s="163"/>
      <c r="E482" s="163"/>
      <c r="F482" s="220"/>
      <c r="G482" s="220"/>
      <c r="H482" s="220"/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106"/>
    </row>
    <row r="483" spans="1:28" s="112" customFormat="1" x14ac:dyDescent="0.2">
      <c r="A483" s="117"/>
      <c r="B483" s="117"/>
      <c r="C483" s="162"/>
      <c r="D483" s="163"/>
      <c r="E483" s="163"/>
      <c r="F483" s="220"/>
      <c r="G483" s="220"/>
      <c r="H483" s="220"/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106"/>
    </row>
    <row r="484" spans="1:28" s="112" customFormat="1" x14ac:dyDescent="0.2">
      <c r="A484" s="117"/>
      <c r="B484" s="117"/>
      <c r="C484" s="162"/>
      <c r="D484" s="163"/>
      <c r="E484" s="163"/>
      <c r="F484" s="220"/>
      <c r="G484" s="220"/>
      <c r="H484" s="220"/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106"/>
    </row>
    <row r="485" spans="1:28" s="112" customFormat="1" x14ac:dyDescent="0.2">
      <c r="A485" s="117"/>
      <c r="B485" s="117"/>
      <c r="C485" s="162"/>
      <c r="D485" s="163"/>
      <c r="E485" s="163"/>
      <c r="F485" s="220"/>
      <c r="G485" s="220"/>
      <c r="H485" s="220"/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106"/>
    </row>
    <row r="486" spans="1:28" s="112" customFormat="1" x14ac:dyDescent="0.2">
      <c r="A486" s="117"/>
      <c r="B486" s="117"/>
      <c r="C486" s="162"/>
      <c r="D486" s="163"/>
      <c r="E486" s="163"/>
      <c r="F486" s="220"/>
      <c r="G486" s="220"/>
      <c r="H486" s="220"/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106"/>
    </row>
    <row r="487" spans="1:28" s="112" customFormat="1" x14ac:dyDescent="0.2">
      <c r="A487" s="117"/>
      <c r="B487" s="117"/>
      <c r="C487" s="162"/>
      <c r="D487" s="163"/>
      <c r="E487" s="163"/>
      <c r="F487" s="220"/>
      <c r="G487" s="220"/>
      <c r="H487" s="220"/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106"/>
    </row>
    <row r="488" spans="1:28" s="112" customFormat="1" x14ac:dyDescent="0.2">
      <c r="A488" s="117"/>
      <c r="B488" s="117"/>
      <c r="C488" s="162"/>
      <c r="D488" s="163"/>
      <c r="E488" s="163"/>
      <c r="F488" s="220"/>
      <c r="G488" s="220"/>
      <c r="H488" s="220"/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106"/>
    </row>
    <row r="489" spans="1:28" s="112" customFormat="1" x14ac:dyDescent="0.2">
      <c r="A489" s="117"/>
      <c r="B489" s="117"/>
      <c r="C489" s="162"/>
      <c r="D489" s="163"/>
      <c r="E489" s="163"/>
      <c r="F489" s="220"/>
      <c r="G489" s="220"/>
      <c r="H489" s="220"/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106"/>
    </row>
    <row r="490" spans="1:28" s="112" customFormat="1" x14ac:dyDescent="0.2">
      <c r="A490" s="117"/>
      <c r="B490" s="117"/>
      <c r="C490" s="162"/>
      <c r="D490" s="163"/>
      <c r="E490" s="163"/>
      <c r="F490" s="220"/>
      <c r="G490" s="220"/>
      <c r="H490" s="220"/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106"/>
    </row>
    <row r="491" spans="1:28" s="112" customFormat="1" x14ac:dyDescent="0.2">
      <c r="A491" s="117"/>
      <c r="B491" s="117"/>
      <c r="C491" s="162"/>
      <c r="D491" s="163"/>
      <c r="E491" s="163"/>
      <c r="F491" s="220"/>
      <c r="G491" s="220"/>
      <c r="H491" s="220"/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106"/>
    </row>
    <row r="492" spans="1:28" s="112" customFormat="1" x14ac:dyDescent="0.2">
      <c r="A492" s="117"/>
      <c r="B492" s="117"/>
      <c r="C492" s="162"/>
      <c r="D492" s="163"/>
      <c r="E492" s="163"/>
      <c r="F492" s="220"/>
      <c r="G492" s="220"/>
      <c r="H492" s="220"/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106"/>
    </row>
    <row r="493" spans="1:28" s="112" customFormat="1" x14ac:dyDescent="0.2">
      <c r="A493" s="117"/>
      <c r="B493" s="117"/>
      <c r="C493" s="162"/>
      <c r="D493" s="163"/>
      <c r="E493" s="163"/>
      <c r="F493" s="220"/>
      <c r="G493" s="220"/>
      <c r="H493" s="220"/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106"/>
    </row>
    <row r="494" spans="1:28" s="112" customFormat="1" x14ac:dyDescent="0.2">
      <c r="A494" s="117"/>
      <c r="B494" s="117"/>
      <c r="C494" s="162"/>
      <c r="D494" s="163"/>
      <c r="E494" s="163"/>
      <c r="F494" s="220"/>
      <c r="G494" s="220"/>
      <c r="H494" s="220"/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106"/>
    </row>
    <row r="495" spans="1:28" s="112" customFormat="1" x14ac:dyDescent="0.2">
      <c r="A495" s="117"/>
      <c r="B495" s="117"/>
      <c r="C495" s="162"/>
      <c r="D495" s="163"/>
      <c r="E495" s="163"/>
      <c r="F495" s="220"/>
      <c r="G495" s="220"/>
      <c r="H495" s="220"/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106"/>
    </row>
    <row r="496" spans="1:28" s="112" customFormat="1" x14ac:dyDescent="0.2">
      <c r="A496" s="117"/>
      <c r="B496" s="117"/>
      <c r="C496" s="162"/>
      <c r="D496" s="163"/>
      <c r="E496" s="163"/>
      <c r="F496" s="220"/>
      <c r="G496" s="220"/>
      <c r="H496" s="220"/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106"/>
    </row>
    <row r="497" spans="1:28" s="112" customFormat="1" x14ac:dyDescent="0.2">
      <c r="A497" s="117"/>
      <c r="B497" s="117"/>
      <c r="C497" s="162"/>
      <c r="D497" s="163"/>
      <c r="E497" s="163"/>
      <c r="F497" s="220"/>
      <c r="G497" s="220"/>
      <c r="H497" s="220"/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106"/>
    </row>
    <row r="498" spans="1:28" s="112" customFormat="1" x14ac:dyDescent="0.2">
      <c r="A498" s="117"/>
      <c r="B498" s="117"/>
      <c r="C498" s="162"/>
      <c r="D498" s="163"/>
      <c r="E498" s="163"/>
      <c r="F498" s="220"/>
      <c r="G498" s="220"/>
      <c r="H498" s="220"/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106"/>
    </row>
    <row r="499" spans="1:28" s="112" customFormat="1" x14ac:dyDescent="0.2">
      <c r="A499" s="117"/>
      <c r="B499" s="117"/>
      <c r="C499" s="162"/>
      <c r="D499" s="163"/>
      <c r="E499" s="163"/>
      <c r="F499" s="220"/>
      <c r="G499" s="220"/>
      <c r="H499" s="220"/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106"/>
    </row>
    <row r="500" spans="1:28" s="112" customFormat="1" x14ac:dyDescent="0.2">
      <c r="A500" s="117"/>
      <c r="B500" s="117"/>
      <c r="C500" s="162"/>
      <c r="D500" s="163"/>
      <c r="E500" s="163"/>
      <c r="F500" s="220"/>
      <c r="G500" s="220"/>
      <c r="H500" s="220"/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106"/>
    </row>
    <row r="501" spans="1:28" s="112" customFormat="1" x14ac:dyDescent="0.2">
      <c r="A501" s="117"/>
      <c r="B501" s="117"/>
      <c r="C501" s="162"/>
      <c r="D501" s="163"/>
      <c r="E501" s="163"/>
      <c r="F501" s="220"/>
      <c r="G501" s="220"/>
      <c r="H501" s="220"/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106"/>
    </row>
    <row r="502" spans="1:28" s="112" customFormat="1" x14ac:dyDescent="0.2">
      <c r="A502" s="117"/>
      <c r="B502" s="117"/>
      <c r="C502" s="162"/>
      <c r="D502" s="163"/>
      <c r="E502" s="163"/>
      <c r="F502" s="220"/>
      <c r="G502" s="220"/>
      <c r="H502" s="220"/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106"/>
    </row>
    <row r="503" spans="1:28" s="112" customFormat="1" x14ac:dyDescent="0.2">
      <c r="A503" s="117"/>
      <c r="B503" s="117"/>
      <c r="C503" s="162"/>
      <c r="D503" s="163"/>
      <c r="E503" s="163"/>
      <c r="F503" s="220"/>
      <c r="G503" s="220"/>
      <c r="H503" s="220"/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106"/>
    </row>
    <row r="504" spans="1:28" s="112" customFormat="1" x14ac:dyDescent="0.2">
      <c r="A504" s="117"/>
      <c r="B504" s="117"/>
      <c r="C504" s="162"/>
      <c r="D504" s="163"/>
      <c r="E504" s="163"/>
      <c r="F504" s="220"/>
      <c r="G504" s="220"/>
      <c r="H504" s="220"/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106"/>
    </row>
    <row r="505" spans="1:28" s="112" customFormat="1" x14ac:dyDescent="0.2">
      <c r="A505" s="117"/>
      <c r="B505" s="117"/>
      <c r="C505" s="162"/>
      <c r="D505" s="163"/>
      <c r="E505" s="163"/>
      <c r="F505" s="220"/>
      <c r="G505" s="220"/>
      <c r="H505" s="220"/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106"/>
    </row>
    <row r="506" spans="1:28" s="112" customFormat="1" x14ac:dyDescent="0.2">
      <c r="A506" s="117"/>
      <c r="B506" s="117"/>
      <c r="C506" s="162"/>
      <c r="D506" s="163"/>
      <c r="E506" s="163"/>
      <c r="F506" s="220"/>
      <c r="G506" s="220"/>
      <c r="H506" s="220"/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106"/>
    </row>
    <row r="507" spans="1:28" s="112" customFormat="1" x14ac:dyDescent="0.2">
      <c r="A507" s="117"/>
      <c r="B507" s="117"/>
      <c r="C507" s="162"/>
      <c r="D507" s="163"/>
      <c r="E507" s="163"/>
      <c r="F507" s="220"/>
      <c r="G507" s="220"/>
      <c r="H507" s="220"/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106"/>
    </row>
    <row r="508" spans="1:28" s="112" customFormat="1" x14ac:dyDescent="0.2">
      <c r="A508" s="117"/>
      <c r="B508" s="117"/>
      <c r="C508" s="162"/>
      <c r="D508" s="163"/>
      <c r="E508" s="163"/>
      <c r="F508" s="220"/>
      <c r="G508" s="220"/>
      <c r="H508" s="220"/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106"/>
    </row>
    <row r="509" spans="1:28" s="112" customFormat="1" x14ac:dyDescent="0.2">
      <c r="A509" s="117"/>
      <c r="B509" s="117"/>
      <c r="C509" s="162"/>
      <c r="D509" s="163"/>
      <c r="E509" s="163"/>
      <c r="F509" s="220"/>
      <c r="G509" s="220"/>
      <c r="H509" s="220"/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106"/>
    </row>
    <row r="510" spans="1:28" s="112" customFormat="1" x14ac:dyDescent="0.2">
      <c r="A510" s="117"/>
      <c r="B510" s="117"/>
      <c r="C510" s="162"/>
      <c r="D510" s="163"/>
      <c r="E510" s="163"/>
      <c r="F510" s="220"/>
      <c r="G510" s="220"/>
      <c r="H510" s="220"/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106"/>
    </row>
    <row r="511" spans="1:28" s="112" customFormat="1" x14ac:dyDescent="0.2">
      <c r="A511" s="117"/>
      <c r="B511" s="117"/>
      <c r="C511" s="162"/>
      <c r="D511" s="163"/>
      <c r="E511" s="163"/>
      <c r="F511" s="220"/>
      <c r="G511" s="220"/>
      <c r="H511" s="220"/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106"/>
    </row>
    <row r="512" spans="1:28" s="112" customFormat="1" x14ac:dyDescent="0.2">
      <c r="A512" s="117"/>
      <c r="B512" s="117"/>
      <c r="C512" s="162"/>
      <c r="D512" s="163"/>
      <c r="E512" s="163"/>
      <c r="F512" s="220"/>
      <c r="G512" s="220"/>
      <c r="H512" s="220"/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106"/>
    </row>
    <row r="513" spans="1:28" s="112" customFormat="1" x14ac:dyDescent="0.2">
      <c r="A513" s="117"/>
      <c r="B513" s="117"/>
      <c r="C513" s="162"/>
      <c r="D513" s="163"/>
      <c r="E513" s="163"/>
      <c r="F513" s="220"/>
      <c r="G513" s="220"/>
      <c r="H513" s="220"/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106"/>
    </row>
    <row r="514" spans="1:28" s="112" customFormat="1" x14ac:dyDescent="0.2">
      <c r="A514" s="117"/>
      <c r="B514" s="117"/>
      <c r="C514" s="162"/>
      <c r="D514" s="163"/>
      <c r="E514" s="163"/>
      <c r="F514" s="220"/>
      <c r="G514" s="220"/>
      <c r="H514" s="220"/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106"/>
    </row>
    <row r="515" spans="1:28" s="112" customFormat="1" x14ac:dyDescent="0.2">
      <c r="A515" s="117"/>
      <c r="B515" s="117"/>
      <c r="C515" s="162"/>
      <c r="D515" s="163"/>
      <c r="E515" s="163"/>
      <c r="F515" s="220"/>
      <c r="G515" s="220"/>
      <c r="H515" s="220"/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106"/>
    </row>
    <row r="516" spans="1:28" s="112" customFormat="1" x14ac:dyDescent="0.2">
      <c r="A516" s="117"/>
      <c r="B516" s="117"/>
      <c r="C516" s="162"/>
      <c r="D516" s="163"/>
      <c r="E516" s="163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106"/>
    </row>
    <row r="517" spans="1:28" s="112" customFormat="1" x14ac:dyDescent="0.2">
      <c r="A517" s="117"/>
      <c r="B517" s="117"/>
      <c r="C517" s="162"/>
      <c r="D517" s="163"/>
      <c r="E517" s="163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106"/>
    </row>
    <row r="518" spans="1:28" s="112" customFormat="1" x14ac:dyDescent="0.2">
      <c r="A518" s="117"/>
      <c r="B518" s="117"/>
      <c r="C518" s="162"/>
      <c r="D518" s="163"/>
      <c r="E518" s="163"/>
      <c r="F518" s="220"/>
      <c r="G518" s="220"/>
      <c r="H518" s="220"/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106"/>
    </row>
    <row r="519" spans="1:28" s="112" customFormat="1" x14ac:dyDescent="0.2">
      <c r="A519" s="117"/>
      <c r="B519" s="117"/>
      <c r="C519" s="162"/>
      <c r="D519" s="163"/>
      <c r="E519" s="163"/>
      <c r="F519" s="220"/>
      <c r="G519" s="220"/>
      <c r="H519" s="220"/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106"/>
    </row>
    <row r="520" spans="1:28" s="112" customFormat="1" x14ac:dyDescent="0.2">
      <c r="A520" s="117"/>
      <c r="B520" s="117"/>
      <c r="C520" s="162"/>
      <c r="D520" s="163"/>
      <c r="E520" s="163"/>
      <c r="F520" s="220"/>
      <c r="G520" s="220"/>
      <c r="H520" s="220"/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106"/>
    </row>
    <row r="521" spans="1:28" s="112" customFormat="1" x14ac:dyDescent="0.2">
      <c r="A521" s="117"/>
      <c r="B521" s="117"/>
      <c r="C521" s="162"/>
      <c r="D521" s="163"/>
      <c r="E521" s="163"/>
      <c r="F521" s="220"/>
      <c r="G521" s="220"/>
      <c r="H521" s="220"/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106"/>
    </row>
    <row r="522" spans="1:28" s="112" customFormat="1" x14ac:dyDescent="0.2">
      <c r="A522" s="117"/>
      <c r="B522" s="117"/>
      <c r="C522" s="162"/>
      <c r="D522" s="163"/>
      <c r="E522" s="163"/>
      <c r="F522" s="220"/>
      <c r="G522" s="220"/>
      <c r="H522" s="220"/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106"/>
    </row>
    <row r="523" spans="1:28" s="112" customFormat="1" x14ac:dyDescent="0.2">
      <c r="A523" s="117"/>
      <c r="B523" s="117"/>
      <c r="C523" s="162"/>
      <c r="D523" s="163"/>
      <c r="E523" s="163"/>
      <c r="F523" s="220"/>
      <c r="G523" s="220"/>
      <c r="H523" s="220"/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106"/>
    </row>
    <row r="524" spans="1:28" s="112" customFormat="1" x14ac:dyDescent="0.2">
      <c r="A524" s="117"/>
      <c r="B524" s="117"/>
      <c r="C524" s="162"/>
      <c r="D524" s="163"/>
      <c r="E524" s="163"/>
      <c r="F524" s="220"/>
      <c r="G524" s="220"/>
      <c r="H524" s="220"/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106"/>
    </row>
    <row r="525" spans="1:28" s="112" customFormat="1" x14ac:dyDescent="0.2">
      <c r="A525" s="117"/>
      <c r="B525" s="117"/>
      <c r="C525" s="162"/>
      <c r="D525" s="163"/>
      <c r="E525" s="163"/>
      <c r="F525" s="220"/>
      <c r="G525" s="220"/>
      <c r="H525" s="220"/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106"/>
    </row>
    <row r="526" spans="1:28" s="112" customFormat="1" x14ac:dyDescent="0.2">
      <c r="A526" s="117"/>
      <c r="B526" s="117"/>
      <c r="C526" s="162"/>
      <c r="D526" s="163"/>
      <c r="E526" s="163"/>
      <c r="F526" s="220"/>
      <c r="G526" s="220"/>
      <c r="H526" s="220"/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106"/>
    </row>
    <row r="527" spans="1:28" s="112" customFormat="1" x14ac:dyDescent="0.2">
      <c r="A527" s="117"/>
      <c r="B527" s="117"/>
      <c r="C527" s="162"/>
      <c r="D527" s="163"/>
      <c r="E527" s="163"/>
      <c r="F527" s="220"/>
      <c r="G527" s="220"/>
      <c r="H527" s="220"/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106"/>
    </row>
    <row r="528" spans="1:28" s="112" customFormat="1" x14ac:dyDescent="0.2">
      <c r="A528" s="117"/>
      <c r="B528" s="117"/>
      <c r="C528" s="162"/>
      <c r="D528" s="163"/>
      <c r="E528" s="163"/>
      <c r="F528" s="220"/>
      <c r="G528" s="220"/>
      <c r="H528" s="220"/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106"/>
    </row>
    <row r="529" spans="1:28" s="112" customFormat="1" x14ac:dyDescent="0.2">
      <c r="A529" s="117"/>
      <c r="B529" s="117"/>
      <c r="C529" s="162"/>
      <c r="D529" s="163"/>
      <c r="E529" s="163"/>
      <c r="F529" s="220"/>
      <c r="G529" s="220"/>
      <c r="H529" s="220"/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106"/>
    </row>
    <row r="530" spans="1:28" s="112" customFormat="1" x14ac:dyDescent="0.2">
      <c r="A530" s="117"/>
      <c r="B530" s="117"/>
      <c r="C530" s="162"/>
      <c r="D530" s="163"/>
      <c r="E530" s="163"/>
      <c r="F530" s="220"/>
      <c r="G530" s="220"/>
      <c r="H530" s="220"/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106"/>
    </row>
    <row r="531" spans="1:28" s="112" customFormat="1" x14ac:dyDescent="0.2">
      <c r="A531" s="117"/>
      <c r="B531" s="117"/>
      <c r="C531" s="162"/>
      <c r="D531" s="163"/>
      <c r="E531" s="163"/>
      <c r="F531" s="220"/>
      <c r="G531" s="220"/>
      <c r="H531" s="220"/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106"/>
    </row>
    <row r="532" spans="1:28" s="112" customFormat="1" x14ac:dyDescent="0.2">
      <c r="A532" s="117"/>
      <c r="B532" s="117"/>
      <c r="C532" s="162"/>
      <c r="D532" s="163"/>
      <c r="E532" s="163"/>
      <c r="F532" s="220"/>
      <c r="G532" s="220"/>
      <c r="H532" s="220"/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106"/>
    </row>
    <row r="533" spans="1:28" s="112" customFormat="1" x14ac:dyDescent="0.2">
      <c r="A533" s="117"/>
      <c r="B533" s="117"/>
      <c r="C533" s="162"/>
      <c r="D533" s="163"/>
      <c r="E533" s="163"/>
      <c r="F533" s="220"/>
      <c r="G533" s="220"/>
      <c r="H533" s="220"/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106"/>
    </row>
    <row r="534" spans="1:28" s="112" customFormat="1" x14ac:dyDescent="0.2">
      <c r="A534" s="117"/>
      <c r="B534" s="117"/>
      <c r="C534" s="162"/>
      <c r="D534" s="163"/>
      <c r="E534" s="163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106"/>
    </row>
    <row r="535" spans="1:28" s="112" customFormat="1" x14ac:dyDescent="0.2">
      <c r="A535" s="117"/>
      <c r="B535" s="117"/>
      <c r="C535" s="162"/>
      <c r="D535" s="163"/>
      <c r="E535" s="163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106"/>
    </row>
    <row r="536" spans="1:28" s="112" customFormat="1" x14ac:dyDescent="0.2">
      <c r="A536" s="117"/>
      <c r="B536" s="117"/>
      <c r="C536" s="162"/>
      <c r="D536" s="163"/>
      <c r="E536" s="163"/>
      <c r="F536" s="220"/>
      <c r="G536" s="220"/>
      <c r="H536" s="220"/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106"/>
    </row>
    <row r="537" spans="1:28" s="112" customFormat="1" x14ac:dyDescent="0.2">
      <c r="A537" s="117"/>
      <c r="B537" s="117"/>
      <c r="C537" s="162"/>
      <c r="D537" s="163"/>
      <c r="E537" s="163"/>
      <c r="F537" s="220"/>
      <c r="G537" s="220"/>
      <c r="H537" s="220"/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106"/>
    </row>
    <row r="538" spans="1:28" s="112" customFormat="1" x14ac:dyDescent="0.2">
      <c r="A538" s="117"/>
      <c r="B538" s="117"/>
      <c r="C538" s="162"/>
      <c r="D538" s="163"/>
      <c r="E538" s="163"/>
      <c r="F538" s="220"/>
      <c r="G538" s="220"/>
      <c r="H538" s="220"/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106"/>
    </row>
    <row r="539" spans="1:28" s="112" customFormat="1" x14ac:dyDescent="0.2">
      <c r="A539" s="117"/>
      <c r="B539" s="117"/>
      <c r="C539" s="162"/>
      <c r="D539" s="163"/>
      <c r="E539" s="163"/>
      <c r="F539" s="220"/>
      <c r="G539" s="220"/>
      <c r="H539" s="220"/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106"/>
    </row>
    <row r="540" spans="1:28" s="112" customFormat="1" x14ac:dyDescent="0.2">
      <c r="A540" s="117"/>
      <c r="B540" s="117"/>
      <c r="C540" s="162"/>
      <c r="D540" s="163"/>
      <c r="E540" s="163"/>
      <c r="F540" s="220"/>
      <c r="G540" s="220"/>
      <c r="H540" s="220"/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106"/>
    </row>
    <row r="541" spans="1:28" s="112" customFormat="1" x14ac:dyDescent="0.2">
      <c r="A541" s="117"/>
      <c r="B541" s="117"/>
      <c r="C541" s="162"/>
      <c r="D541" s="163"/>
      <c r="E541" s="163"/>
      <c r="F541" s="220"/>
      <c r="G541" s="220"/>
      <c r="H541" s="220"/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106"/>
    </row>
    <row r="542" spans="1:28" s="112" customFormat="1" x14ac:dyDescent="0.2">
      <c r="A542" s="117"/>
      <c r="B542" s="117"/>
      <c r="C542" s="162"/>
      <c r="D542" s="163"/>
      <c r="E542" s="163"/>
      <c r="F542" s="220"/>
      <c r="G542" s="220"/>
      <c r="H542" s="220"/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106"/>
    </row>
    <row r="543" spans="1:28" s="112" customFormat="1" x14ac:dyDescent="0.2">
      <c r="A543" s="117"/>
      <c r="B543" s="117"/>
      <c r="C543" s="162"/>
      <c r="D543" s="163"/>
      <c r="E543" s="163"/>
      <c r="F543" s="220"/>
      <c r="G543" s="220"/>
      <c r="H543" s="220"/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106"/>
    </row>
    <row r="544" spans="1:28" s="112" customFormat="1" x14ac:dyDescent="0.2">
      <c r="A544" s="117"/>
      <c r="B544" s="117"/>
      <c r="C544" s="162"/>
      <c r="D544" s="163"/>
      <c r="E544" s="163"/>
      <c r="F544" s="220"/>
      <c r="G544" s="220"/>
      <c r="H544" s="220"/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106"/>
    </row>
    <row r="545" spans="1:28" s="112" customFormat="1" x14ac:dyDescent="0.2">
      <c r="A545" s="117"/>
      <c r="B545" s="117"/>
      <c r="C545" s="162"/>
      <c r="D545" s="163"/>
      <c r="E545" s="163"/>
      <c r="F545" s="220"/>
      <c r="G545" s="220"/>
      <c r="H545" s="220"/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106"/>
    </row>
    <row r="546" spans="1:28" s="112" customFormat="1" x14ac:dyDescent="0.2">
      <c r="A546" s="117"/>
      <c r="B546" s="117"/>
      <c r="C546" s="162"/>
      <c r="D546" s="163"/>
      <c r="E546" s="163"/>
      <c r="F546" s="220"/>
      <c r="G546" s="220"/>
      <c r="H546" s="220"/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106"/>
    </row>
    <row r="547" spans="1:28" s="112" customFormat="1" x14ac:dyDescent="0.2">
      <c r="A547" s="117"/>
      <c r="B547" s="117"/>
      <c r="C547" s="162"/>
      <c r="D547" s="163"/>
      <c r="E547" s="163"/>
      <c r="F547" s="220"/>
      <c r="G547" s="220"/>
      <c r="H547" s="220"/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106"/>
    </row>
    <row r="548" spans="1:28" s="112" customFormat="1" x14ac:dyDescent="0.2">
      <c r="A548" s="117"/>
      <c r="B548" s="117"/>
      <c r="C548" s="162"/>
      <c r="D548" s="163"/>
      <c r="E548" s="163"/>
      <c r="F548" s="220"/>
      <c r="G548" s="220"/>
      <c r="H548" s="220"/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106"/>
    </row>
    <row r="549" spans="1:28" s="112" customFormat="1" x14ac:dyDescent="0.2">
      <c r="A549" s="117"/>
      <c r="B549" s="117"/>
      <c r="C549" s="162"/>
      <c r="D549" s="163"/>
      <c r="E549" s="163"/>
      <c r="F549" s="220"/>
      <c r="G549" s="220"/>
      <c r="H549" s="220"/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106"/>
    </row>
    <row r="550" spans="1:28" s="112" customFormat="1" x14ac:dyDescent="0.2">
      <c r="A550" s="117"/>
      <c r="B550" s="117"/>
      <c r="C550" s="162"/>
      <c r="D550" s="163"/>
      <c r="E550" s="163"/>
      <c r="F550" s="220"/>
      <c r="G550" s="220"/>
      <c r="H550" s="220"/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106"/>
    </row>
    <row r="551" spans="1:28" s="112" customFormat="1" x14ac:dyDescent="0.2">
      <c r="A551" s="117"/>
      <c r="B551" s="117"/>
      <c r="C551" s="162"/>
      <c r="D551" s="163"/>
      <c r="E551" s="163"/>
      <c r="F551" s="220"/>
      <c r="G551" s="220"/>
      <c r="H551" s="220"/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106"/>
    </row>
    <row r="552" spans="1:28" s="112" customFormat="1" x14ac:dyDescent="0.2">
      <c r="A552" s="117"/>
      <c r="B552" s="117"/>
      <c r="C552" s="162"/>
      <c r="D552" s="163"/>
      <c r="E552" s="163"/>
      <c r="F552" s="220"/>
      <c r="G552" s="220"/>
      <c r="H552" s="220"/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106"/>
    </row>
    <row r="553" spans="1:28" s="112" customFormat="1" x14ac:dyDescent="0.2">
      <c r="A553" s="117"/>
      <c r="B553" s="117"/>
      <c r="C553" s="162"/>
      <c r="D553" s="163"/>
      <c r="E553" s="163"/>
      <c r="F553" s="220"/>
      <c r="G553" s="220"/>
      <c r="H553" s="220"/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106"/>
    </row>
    <row r="554" spans="1:28" s="112" customFormat="1" x14ac:dyDescent="0.2">
      <c r="A554" s="117"/>
      <c r="B554" s="117"/>
      <c r="C554" s="162"/>
      <c r="D554" s="163"/>
      <c r="E554" s="163"/>
      <c r="F554" s="220"/>
      <c r="G554" s="220"/>
      <c r="H554" s="220"/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106"/>
    </row>
    <row r="555" spans="1:28" s="112" customFormat="1" x14ac:dyDescent="0.2">
      <c r="A555" s="117"/>
      <c r="B555" s="117"/>
      <c r="C555" s="162"/>
      <c r="D555" s="163"/>
      <c r="E555" s="163"/>
      <c r="F555" s="220"/>
      <c r="G555" s="220"/>
      <c r="H555" s="220"/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106"/>
    </row>
    <row r="556" spans="1:28" s="112" customFormat="1" x14ac:dyDescent="0.2">
      <c r="A556" s="117"/>
      <c r="B556" s="117"/>
      <c r="C556" s="162"/>
      <c r="D556" s="163"/>
      <c r="E556" s="163"/>
      <c r="F556" s="220"/>
      <c r="G556" s="220"/>
      <c r="H556" s="220"/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106"/>
    </row>
    <row r="557" spans="1:28" s="112" customFormat="1" x14ac:dyDescent="0.2">
      <c r="A557" s="117"/>
      <c r="B557" s="117"/>
      <c r="C557" s="162"/>
      <c r="D557" s="163"/>
      <c r="E557" s="163"/>
      <c r="F557" s="220"/>
      <c r="G557" s="220"/>
      <c r="H557" s="220"/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106"/>
    </row>
    <row r="558" spans="1:28" s="112" customFormat="1" x14ac:dyDescent="0.2">
      <c r="A558" s="117"/>
      <c r="B558" s="117"/>
      <c r="C558" s="162"/>
      <c r="D558" s="163"/>
      <c r="E558" s="163"/>
      <c r="F558" s="220"/>
      <c r="G558" s="220"/>
      <c r="H558" s="220"/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106"/>
    </row>
    <row r="559" spans="1:28" s="112" customFormat="1" x14ac:dyDescent="0.2">
      <c r="A559" s="117"/>
      <c r="B559" s="117"/>
      <c r="C559" s="162"/>
      <c r="D559" s="163"/>
      <c r="E559" s="163"/>
      <c r="F559" s="220"/>
      <c r="G559" s="220"/>
      <c r="H559" s="220"/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106"/>
    </row>
    <row r="560" spans="1:28" s="112" customFormat="1" x14ac:dyDescent="0.2">
      <c r="A560" s="117"/>
      <c r="B560" s="117"/>
      <c r="C560" s="162"/>
      <c r="D560" s="163"/>
      <c r="E560" s="163"/>
      <c r="F560" s="220"/>
      <c r="G560" s="220"/>
      <c r="H560" s="220"/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106"/>
    </row>
    <row r="561" spans="1:28" s="112" customFormat="1" x14ac:dyDescent="0.2">
      <c r="A561" s="117"/>
      <c r="B561" s="117"/>
      <c r="C561" s="162"/>
      <c r="D561" s="163"/>
      <c r="E561" s="163"/>
      <c r="F561" s="220"/>
      <c r="G561" s="220"/>
      <c r="H561" s="220"/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106"/>
    </row>
    <row r="562" spans="1:28" s="112" customFormat="1" x14ac:dyDescent="0.2">
      <c r="A562" s="117"/>
      <c r="B562" s="117"/>
      <c r="C562" s="162"/>
      <c r="D562" s="163"/>
      <c r="E562" s="163"/>
      <c r="F562" s="220"/>
      <c r="G562" s="220"/>
      <c r="H562" s="220"/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106"/>
    </row>
    <row r="563" spans="1:28" s="112" customFormat="1" x14ac:dyDescent="0.2">
      <c r="A563" s="117"/>
      <c r="B563" s="117"/>
      <c r="C563" s="162"/>
      <c r="D563" s="163"/>
      <c r="E563" s="163"/>
      <c r="F563" s="220"/>
      <c r="G563" s="220"/>
      <c r="H563" s="220"/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106"/>
    </row>
    <row r="564" spans="1:28" s="112" customFormat="1" x14ac:dyDescent="0.2">
      <c r="A564" s="117"/>
      <c r="B564" s="117"/>
      <c r="C564" s="162"/>
      <c r="D564" s="163"/>
      <c r="E564" s="163"/>
      <c r="F564" s="220"/>
      <c r="G564" s="220"/>
      <c r="H564" s="220"/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106"/>
    </row>
    <row r="565" spans="1:28" s="112" customFormat="1" x14ac:dyDescent="0.2">
      <c r="A565" s="117"/>
      <c r="B565" s="117"/>
      <c r="C565" s="162"/>
      <c r="D565" s="163"/>
      <c r="E565" s="163"/>
      <c r="F565" s="220"/>
      <c r="G565" s="220"/>
      <c r="H565" s="220"/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106"/>
    </row>
    <row r="566" spans="1:28" s="112" customFormat="1" x14ac:dyDescent="0.2">
      <c r="A566" s="117"/>
      <c r="B566" s="117"/>
      <c r="C566" s="162"/>
      <c r="D566" s="163"/>
      <c r="E566" s="163"/>
      <c r="F566" s="220"/>
      <c r="G566" s="220"/>
      <c r="H566" s="220"/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106"/>
    </row>
    <row r="567" spans="1:28" s="112" customFormat="1" x14ac:dyDescent="0.2">
      <c r="A567" s="117"/>
      <c r="B567" s="117"/>
      <c r="C567" s="162"/>
      <c r="D567" s="163"/>
      <c r="E567" s="163"/>
      <c r="F567" s="220"/>
      <c r="G567" s="220"/>
      <c r="H567" s="220"/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106"/>
    </row>
    <row r="568" spans="1:28" s="112" customFormat="1" x14ac:dyDescent="0.2">
      <c r="A568" s="117"/>
      <c r="B568" s="117"/>
      <c r="C568" s="162"/>
      <c r="D568" s="163"/>
      <c r="E568" s="163"/>
      <c r="F568" s="220"/>
      <c r="G568" s="220"/>
      <c r="H568" s="220"/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106"/>
    </row>
    <row r="569" spans="1:28" s="112" customFormat="1" x14ac:dyDescent="0.2">
      <c r="A569" s="117"/>
      <c r="B569" s="117"/>
      <c r="C569" s="162"/>
      <c r="D569" s="163"/>
      <c r="E569" s="163"/>
      <c r="F569" s="220"/>
      <c r="G569" s="220"/>
      <c r="H569" s="220"/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106"/>
    </row>
    <row r="570" spans="1:28" s="112" customFormat="1" x14ac:dyDescent="0.2">
      <c r="A570" s="117"/>
      <c r="B570" s="117"/>
      <c r="C570" s="162"/>
      <c r="D570" s="163"/>
      <c r="E570" s="163"/>
      <c r="F570" s="220"/>
      <c r="G570" s="220"/>
      <c r="H570" s="220"/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106"/>
    </row>
    <row r="571" spans="1:28" s="112" customFormat="1" x14ac:dyDescent="0.2">
      <c r="A571" s="117"/>
      <c r="B571" s="117"/>
      <c r="C571" s="162"/>
      <c r="D571" s="163"/>
      <c r="E571" s="163"/>
      <c r="F571" s="220"/>
      <c r="G571" s="220"/>
      <c r="H571" s="220"/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106"/>
    </row>
    <row r="572" spans="1:28" s="112" customFormat="1" x14ac:dyDescent="0.2">
      <c r="A572" s="117"/>
      <c r="B572" s="117"/>
      <c r="C572" s="162"/>
      <c r="D572" s="163"/>
      <c r="E572" s="163"/>
      <c r="F572" s="220"/>
      <c r="G572" s="220"/>
      <c r="H572" s="220"/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106"/>
    </row>
    <row r="573" spans="1:28" s="112" customFormat="1" x14ac:dyDescent="0.2">
      <c r="A573" s="117"/>
      <c r="B573" s="117"/>
      <c r="C573" s="162"/>
      <c r="D573" s="163"/>
      <c r="E573" s="163"/>
      <c r="F573" s="220"/>
      <c r="G573" s="220"/>
      <c r="H573" s="220"/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106"/>
    </row>
    <row r="574" spans="1:28" s="112" customFormat="1" x14ac:dyDescent="0.2">
      <c r="A574" s="117"/>
      <c r="B574" s="117"/>
      <c r="C574" s="162"/>
      <c r="D574" s="163"/>
      <c r="E574" s="163"/>
      <c r="F574" s="220"/>
      <c r="G574" s="220"/>
      <c r="H574" s="220"/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106"/>
    </row>
    <row r="575" spans="1:28" s="112" customFormat="1" x14ac:dyDescent="0.2">
      <c r="A575" s="117"/>
      <c r="B575" s="117"/>
      <c r="C575" s="162"/>
      <c r="D575" s="163"/>
      <c r="E575" s="163"/>
      <c r="F575" s="220"/>
      <c r="G575" s="220"/>
      <c r="H575" s="220"/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106"/>
    </row>
    <row r="576" spans="1:28" s="112" customFormat="1" x14ac:dyDescent="0.2">
      <c r="A576" s="117"/>
      <c r="B576" s="117"/>
      <c r="C576" s="162"/>
      <c r="D576" s="163"/>
      <c r="E576" s="163"/>
      <c r="F576" s="220"/>
      <c r="G576" s="220"/>
      <c r="H576" s="220"/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106"/>
    </row>
    <row r="577" spans="1:28" s="112" customFormat="1" x14ac:dyDescent="0.2">
      <c r="A577" s="117"/>
      <c r="B577" s="117"/>
      <c r="C577" s="162"/>
      <c r="D577" s="163"/>
      <c r="E577" s="163"/>
      <c r="F577" s="220"/>
      <c r="G577" s="220"/>
      <c r="H577" s="220"/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106"/>
    </row>
    <row r="578" spans="1:28" s="112" customFormat="1" x14ac:dyDescent="0.2">
      <c r="A578" s="117"/>
      <c r="B578" s="117"/>
      <c r="C578" s="162"/>
      <c r="D578" s="163"/>
      <c r="E578" s="163"/>
      <c r="F578" s="220"/>
      <c r="G578" s="220"/>
      <c r="H578" s="220"/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106"/>
    </row>
    <row r="579" spans="1:28" s="112" customFormat="1" x14ac:dyDescent="0.2">
      <c r="A579" s="117"/>
      <c r="B579" s="117"/>
      <c r="C579" s="162"/>
      <c r="D579" s="163"/>
      <c r="E579" s="163"/>
      <c r="F579" s="220"/>
      <c r="G579" s="220"/>
      <c r="H579" s="220"/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106"/>
    </row>
    <row r="580" spans="1:28" s="112" customFormat="1" x14ac:dyDescent="0.2">
      <c r="A580" s="117"/>
      <c r="B580" s="117"/>
      <c r="C580" s="162"/>
      <c r="D580" s="163"/>
      <c r="E580" s="163"/>
      <c r="F580" s="220"/>
      <c r="G580" s="220"/>
      <c r="H580" s="220"/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106"/>
    </row>
    <row r="581" spans="1:28" s="112" customFormat="1" x14ac:dyDescent="0.2">
      <c r="A581" s="117"/>
      <c r="B581" s="117"/>
      <c r="C581" s="162"/>
      <c r="D581" s="163"/>
      <c r="E581" s="163"/>
      <c r="F581" s="220"/>
      <c r="G581" s="220"/>
      <c r="H581" s="220"/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106"/>
    </row>
    <row r="582" spans="1:28" s="112" customFormat="1" x14ac:dyDescent="0.2">
      <c r="A582" s="117"/>
      <c r="B582" s="117"/>
      <c r="C582" s="162"/>
      <c r="D582" s="163"/>
      <c r="E582" s="163"/>
      <c r="F582" s="220"/>
      <c r="G582" s="220"/>
      <c r="H582" s="220"/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106"/>
    </row>
    <row r="583" spans="1:28" s="112" customFormat="1" x14ac:dyDescent="0.2">
      <c r="A583" s="117"/>
      <c r="B583" s="117"/>
      <c r="C583" s="162"/>
      <c r="D583" s="163"/>
      <c r="E583" s="163"/>
      <c r="F583" s="220"/>
      <c r="G583" s="220"/>
      <c r="H583" s="220"/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106"/>
    </row>
    <row r="584" spans="1:28" s="112" customFormat="1" x14ac:dyDescent="0.2">
      <c r="A584" s="117"/>
      <c r="B584" s="117"/>
      <c r="C584" s="162"/>
      <c r="D584" s="163"/>
      <c r="E584" s="163"/>
      <c r="F584" s="220"/>
      <c r="G584" s="220"/>
      <c r="H584" s="220"/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106"/>
    </row>
    <row r="585" spans="1:28" s="112" customFormat="1" x14ac:dyDescent="0.2">
      <c r="A585" s="117"/>
      <c r="B585" s="117"/>
      <c r="C585" s="162"/>
      <c r="D585" s="163"/>
      <c r="E585" s="163"/>
      <c r="F585" s="220"/>
      <c r="G585" s="220"/>
      <c r="H585" s="220"/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106"/>
    </row>
    <row r="586" spans="1:28" s="112" customFormat="1" x14ac:dyDescent="0.2">
      <c r="A586" s="117"/>
      <c r="B586" s="117"/>
      <c r="C586" s="162"/>
      <c r="D586" s="163"/>
      <c r="E586" s="163"/>
      <c r="F586" s="220"/>
      <c r="G586" s="220"/>
      <c r="H586" s="220"/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106"/>
    </row>
    <row r="587" spans="1:28" s="112" customFormat="1" x14ac:dyDescent="0.2">
      <c r="A587" s="117"/>
      <c r="B587" s="117"/>
      <c r="C587" s="162"/>
      <c r="D587" s="163"/>
      <c r="E587" s="163"/>
      <c r="F587" s="220"/>
      <c r="G587" s="220"/>
      <c r="H587" s="220"/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106"/>
    </row>
    <row r="588" spans="1:28" s="112" customFormat="1" x14ac:dyDescent="0.2">
      <c r="A588" s="117"/>
      <c r="B588" s="117"/>
      <c r="C588" s="162"/>
      <c r="D588" s="163"/>
      <c r="E588" s="163"/>
      <c r="F588" s="220"/>
      <c r="G588" s="220"/>
      <c r="H588" s="220"/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106"/>
    </row>
    <row r="589" spans="1:28" s="112" customFormat="1" x14ac:dyDescent="0.2">
      <c r="A589" s="117"/>
      <c r="B589" s="117"/>
      <c r="C589" s="162"/>
      <c r="D589" s="163"/>
      <c r="E589" s="163"/>
      <c r="F589" s="220"/>
      <c r="G589" s="220"/>
      <c r="H589" s="220"/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106"/>
    </row>
    <row r="590" spans="1:28" s="112" customFormat="1" x14ac:dyDescent="0.2">
      <c r="A590" s="117"/>
      <c r="B590" s="117"/>
      <c r="C590" s="162"/>
      <c r="D590" s="163"/>
      <c r="E590" s="163"/>
      <c r="F590" s="220"/>
      <c r="G590" s="220"/>
      <c r="H590" s="220"/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106"/>
    </row>
    <row r="591" spans="1:28" s="112" customFormat="1" x14ac:dyDescent="0.2">
      <c r="A591" s="117"/>
      <c r="B591" s="117"/>
      <c r="C591" s="162"/>
      <c r="D591" s="163"/>
      <c r="E591" s="163"/>
      <c r="F591" s="220"/>
      <c r="G591" s="220"/>
      <c r="H591" s="220"/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106"/>
    </row>
    <row r="592" spans="1:28" s="112" customFormat="1" x14ac:dyDescent="0.2">
      <c r="A592" s="117"/>
      <c r="B592" s="117"/>
      <c r="C592" s="162"/>
      <c r="D592" s="163"/>
      <c r="E592" s="163"/>
      <c r="F592" s="220"/>
      <c r="G592" s="220"/>
      <c r="H592" s="220"/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106"/>
    </row>
    <row r="593" spans="1:28" s="112" customFormat="1" x14ac:dyDescent="0.2">
      <c r="A593" s="117"/>
      <c r="B593" s="117"/>
      <c r="C593" s="162"/>
      <c r="D593" s="163"/>
      <c r="E593" s="163"/>
      <c r="F593" s="220"/>
      <c r="G593" s="220"/>
      <c r="H593" s="220"/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106"/>
    </row>
    <row r="594" spans="1:28" s="112" customFormat="1" x14ac:dyDescent="0.2">
      <c r="A594" s="117"/>
      <c r="B594" s="117"/>
      <c r="C594" s="162"/>
      <c r="D594" s="163"/>
      <c r="E594" s="163"/>
      <c r="F594" s="220"/>
      <c r="G594" s="220"/>
      <c r="H594" s="220"/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106"/>
    </row>
    <row r="595" spans="1:28" s="112" customFormat="1" x14ac:dyDescent="0.2">
      <c r="A595" s="117"/>
      <c r="B595" s="117"/>
      <c r="C595" s="162"/>
      <c r="D595" s="163"/>
      <c r="E595" s="163"/>
      <c r="F595" s="220"/>
      <c r="G595" s="220"/>
      <c r="H595" s="220"/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106"/>
    </row>
    <row r="596" spans="1:28" s="112" customFormat="1" x14ac:dyDescent="0.2">
      <c r="A596" s="117"/>
      <c r="B596" s="117"/>
      <c r="C596" s="162"/>
      <c r="D596" s="163"/>
      <c r="E596" s="163"/>
      <c r="F596" s="220"/>
      <c r="G596" s="220"/>
      <c r="H596" s="220"/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106"/>
    </row>
    <row r="597" spans="1:28" s="112" customFormat="1" x14ac:dyDescent="0.2">
      <c r="A597" s="117"/>
      <c r="B597" s="117"/>
      <c r="C597" s="162"/>
      <c r="D597" s="163"/>
      <c r="E597" s="163"/>
      <c r="F597" s="220"/>
      <c r="G597" s="220"/>
      <c r="H597" s="220"/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106"/>
    </row>
    <row r="598" spans="1:28" s="112" customFormat="1" x14ac:dyDescent="0.2">
      <c r="A598" s="117"/>
      <c r="B598" s="117"/>
      <c r="C598" s="162"/>
      <c r="D598" s="163"/>
      <c r="E598" s="163"/>
      <c r="F598" s="220"/>
      <c r="G598" s="220"/>
      <c r="H598" s="220"/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106"/>
    </row>
    <row r="599" spans="1:28" s="112" customFormat="1" x14ac:dyDescent="0.2">
      <c r="A599" s="117"/>
      <c r="B599" s="117"/>
      <c r="C599" s="162"/>
      <c r="D599" s="163"/>
      <c r="E599" s="163"/>
      <c r="F599" s="220"/>
      <c r="G599" s="220"/>
      <c r="H599" s="220"/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106"/>
    </row>
    <row r="600" spans="1:28" s="112" customFormat="1" x14ac:dyDescent="0.2">
      <c r="A600" s="117"/>
      <c r="B600" s="117"/>
      <c r="C600" s="162"/>
      <c r="D600" s="163"/>
      <c r="E600" s="163"/>
      <c r="F600" s="220"/>
      <c r="G600" s="220"/>
      <c r="H600" s="220"/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106"/>
    </row>
    <row r="601" spans="1:28" s="112" customFormat="1" x14ac:dyDescent="0.2">
      <c r="A601" s="117"/>
      <c r="B601" s="117"/>
      <c r="C601" s="162"/>
      <c r="D601" s="163"/>
      <c r="E601" s="163"/>
      <c r="F601" s="220"/>
      <c r="G601" s="220"/>
      <c r="H601" s="220"/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106"/>
    </row>
    <row r="602" spans="1:28" s="112" customFormat="1" x14ac:dyDescent="0.2">
      <c r="A602" s="117"/>
      <c r="B602" s="117"/>
      <c r="C602" s="162"/>
      <c r="D602" s="163"/>
      <c r="E602" s="163"/>
      <c r="F602" s="220"/>
      <c r="G602" s="220"/>
      <c r="H602" s="220"/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106"/>
    </row>
    <row r="603" spans="1:28" s="112" customFormat="1" x14ac:dyDescent="0.2">
      <c r="A603" s="117"/>
      <c r="B603" s="117"/>
      <c r="C603" s="162"/>
      <c r="D603" s="163"/>
      <c r="E603" s="163"/>
      <c r="F603" s="220"/>
      <c r="G603" s="220"/>
      <c r="H603" s="220"/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106"/>
    </row>
    <row r="604" spans="1:28" s="112" customFormat="1" x14ac:dyDescent="0.2">
      <c r="A604" s="117"/>
      <c r="B604" s="117"/>
      <c r="C604" s="162"/>
      <c r="D604" s="163"/>
      <c r="E604" s="163"/>
      <c r="F604" s="220"/>
      <c r="G604" s="220"/>
      <c r="H604" s="220"/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106"/>
    </row>
    <row r="605" spans="1:28" s="112" customFormat="1" x14ac:dyDescent="0.2">
      <c r="A605" s="117"/>
      <c r="B605" s="117"/>
      <c r="C605" s="162"/>
      <c r="D605" s="163"/>
      <c r="E605" s="163"/>
      <c r="F605" s="220"/>
      <c r="G605" s="220"/>
      <c r="H605" s="220"/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106"/>
    </row>
    <row r="606" spans="1:28" s="112" customFormat="1" x14ac:dyDescent="0.2">
      <c r="A606" s="117"/>
      <c r="B606" s="117"/>
      <c r="C606" s="162"/>
      <c r="D606" s="163"/>
      <c r="E606" s="163"/>
      <c r="F606" s="220"/>
      <c r="G606" s="220"/>
      <c r="H606" s="220"/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106"/>
    </row>
    <row r="607" spans="1:28" s="112" customFormat="1" x14ac:dyDescent="0.2">
      <c r="A607" s="117"/>
      <c r="B607" s="117"/>
      <c r="C607" s="162"/>
      <c r="D607" s="163"/>
      <c r="E607" s="163"/>
      <c r="F607" s="220"/>
      <c r="G607" s="220"/>
      <c r="H607" s="220"/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106"/>
    </row>
  </sheetData>
  <mergeCells count="9">
    <mergeCell ref="A175:B175"/>
    <mergeCell ref="A1:AB1"/>
    <mergeCell ref="A4:AB4"/>
    <mergeCell ref="A5:AB5"/>
    <mergeCell ref="A7:A8"/>
    <mergeCell ref="B7:B8"/>
    <mergeCell ref="C7:Z7"/>
    <mergeCell ref="AA7:AA8"/>
    <mergeCell ref="AB7:A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rowBreaks count="2" manualBreakCount="2">
    <brk id="71" max="16383" man="1"/>
    <brk id="183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140"/>
  <sheetViews>
    <sheetView tabSelected="1" topLeftCell="C4" zoomScale="85" zoomScaleNormal="85" workbookViewId="0">
      <selection activeCell="I21" sqref="I21"/>
    </sheetView>
  </sheetViews>
  <sheetFormatPr defaultRowHeight="15" x14ac:dyDescent="0.25"/>
  <cols>
    <col min="1" max="1" width="25.28515625" style="304" customWidth="1"/>
    <col min="2" max="2" width="17.42578125" style="305" customWidth="1"/>
    <col min="3" max="3" width="63.85546875" style="304" customWidth="1"/>
    <col min="4" max="4" width="17.42578125" style="306" customWidth="1"/>
    <col min="5" max="5" width="18.7109375" style="306" bestFit="1" customWidth="1"/>
    <col min="6" max="6" width="21.5703125" style="306" customWidth="1"/>
    <col min="7" max="7" width="15.85546875" style="304" customWidth="1"/>
    <col min="8" max="8" width="29.7109375" style="224" customWidth="1"/>
    <col min="9" max="9" width="20.42578125" style="224" customWidth="1"/>
    <col min="10" max="10" width="23" style="224" customWidth="1"/>
    <col min="11" max="11" width="14.42578125" style="224" customWidth="1"/>
    <col min="12" max="12" width="5" style="224" bestFit="1" customWidth="1"/>
    <col min="13" max="13" width="9.140625" style="224"/>
    <col min="14" max="14" width="15.5703125" style="224" hidden="1" customWidth="1"/>
    <col min="15" max="16384" width="9.140625" style="224"/>
  </cols>
  <sheetData>
    <row r="2" spans="1:256" x14ac:dyDescent="0.25">
      <c r="A2" s="221"/>
      <c r="B2" s="222"/>
      <c r="C2" s="221"/>
      <c r="D2" s="223"/>
      <c r="E2" s="223"/>
      <c r="F2" s="223"/>
      <c r="G2" s="221"/>
    </row>
    <row r="3" spans="1:256" x14ac:dyDescent="0.25">
      <c r="A3" s="221"/>
      <c r="B3" s="222"/>
      <c r="C3" s="221"/>
      <c r="D3" s="223"/>
      <c r="E3" s="223"/>
      <c r="F3" s="223"/>
      <c r="G3" s="221"/>
    </row>
    <row r="4" spans="1:256" ht="18.75" customHeight="1" x14ac:dyDescent="0.2">
      <c r="A4" s="225" t="s">
        <v>394</v>
      </c>
      <c r="B4" s="225"/>
      <c r="C4" s="225"/>
      <c r="D4" s="225"/>
      <c r="E4" s="225"/>
      <c r="F4" s="225"/>
      <c r="G4" s="225"/>
      <c r="H4" s="224">
        <v>185623614</v>
      </c>
    </row>
    <row r="5" spans="1:256" ht="15.75" customHeight="1" x14ac:dyDescent="0.2">
      <c r="A5" s="226" t="s">
        <v>2</v>
      </c>
      <c r="B5" s="226"/>
      <c r="C5" s="226"/>
      <c r="D5" s="226"/>
      <c r="E5" s="226"/>
      <c r="F5" s="226"/>
      <c r="G5" s="226"/>
      <c r="H5" s="227">
        <f>+D10-H4</f>
        <v>-1573457</v>
      </c>
    </row>
    <row r="6" spans="1:256" ht="12.75" x14ac:dyDescent="0.2">
      <c r="A6" s="228" t="s">
        <v>696</v>
      </c>
      <c r="B6" s="228"/>
      <c r="C6" s="228"/>
      <c r="D6" s="228"/>
      <c r="E6" s="228"/>
      <c r="F6" s="228"/>
      <c r="G6" s="228"/>
      <c r="H6" s="227"/>
    </row>
    <row r="7" spans="1:256" ht="15" customHeight="1" x14ac:dyDescent="0.2">
      <c r="A7" s="229" t="s">
        <v>697</v>
      </c>
      <c r="B7" s="229" t="s">
        <v>698</v>
      </c>
      <c r="C7" s="230" t="s">
        <v>396</v>
      </c>
      <c r="D7" s="231" t="s">
        <v>699</v>
      </c>
      <c r="E7" s="231"/>
      <c r="F7" s="231" t="s">
        <v>429</v>
      </c>
      <c r="G7" s="232" t="s">
        <v>700</v>
      </c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3"/>
      <c r="DJ7" s="233"/>
      <c r="DK7" s="233"/>
      <c r="DL7" s="233"/>
      <c r="DM7" s="233"/>
      <c r="DN7" s="233"/>
      <c r="DO7" s="233"/>
      <c r="DP7" s="233"/>
      <c r="DQ7" s="233"/>
      <c r="DR7" s="233"/>
      <c r="DS7" s="233"/>
      <c r="DT7" s="233"/>
      <c r="DU7" s="233"/>
      <c r="DV7" s="233"/>
      <c r="DW7" s="233"/>
      <c r="DX7" s="233"/>
      <c r="DY7" s="233"/>
      <c r="DZ7" s="233"/>
      <c r="EA7" s="233"/>
      <c r="EB7" s="233"/>
      <c r="EC7" s="233"/>
      <c r="ED7" s="233"/>
      <c r="EE7" s="233"/>
      <c r="EF7" s="233"/>
      <c r="EG7" s="233"/>
      <c r="EH7" s="233"/>
      <c r="EI7" s="233"/>
      <c r="EJ7" s="233"/>
      <c r="EK7" s="233"/>
      <c r="EL7" s="233"/>
      <c r="EM7" s="233"/>
      <c r="EN7" s="233"/>
      <c r="EO7" s="233"/>
      <c r="EP7" s="233"/>
      <c r="EQ7" s="233"/>
      <c r="ER7" s="233"/>
      <c r="ES7" s="233"/>
      <c r="ET7" s="233"/>
      <c r="EU7" s="233"/>
      <c r="EV7" s="233"/>
      <c r="EW7" s="233"/>
      <c r="EX7" s="233"/>
      <c r="EY7" s="233"/>
      <c r="EZ7" s="233"/>
      <c r="FA7" s="233"/>
      <c r="FB7" s="233"/>
      <c r="FC7" s="233"/>
      <c r="FD7" s="233"/>
      <c r="FE7" s="233"/>
      <c r="FF7" s="233"/>
      <c r="FG7" s="233"/>
      <c r="FH7" s="233"/>
      <c r="FI7" s="233"/>
      <c r="FJ7" s="233"/>
      <c r="FK7" s="233"/>
      <c r="FL7" s="233"/>
      <c r="FM7" s="233"/>
      <c r="FN7" s="233"/>
      <c r="FO7" s="233"/>
      <c r="FP7" s="233"/>
      <c r="FQ7" s="233"/>
      <c r="FR7" s="233"/>
      <c r="FS7" s="233"/>
      <c r="FT7" s="233"/>
      <c r="FU7" s="233"/>
      <c r="FV7" s="233"/>
      <c r="FW7" s="233"/>
      <c r="FX7" s="233"/>
      <c r="FY7" s="233"/>
      <c r="FZ7" s="233"/>
      <c r="GA7" s="233"/>
      <c r="GB7" s="233"/>
      <c r="GC7" s="233"/>
      <c r="GD7" s="233"/>
      <c r="GE7" s="233"/>
      <c r="GF7" s="233"/>
      <c r="GG7" s="233"/>
      <c r="GH7" s="233"/>
      <c r="GI7" s="233"/>
      <c r="GJ7" s="233"/>
      <c r="GK7" s="233"/>
      <c r="GL7" s="233"/>
      <c r="GM7" s="233"/>
      <c r="GN7" s="233"/>
      <c r="GO7" s="233"/>
      <c r="GP7" s="233"/>
      <c r="GQ7" s="233"/>
      <c r="GR7" s="233"/>
      <c r="GS7" s="233"/>
      <c r="GT7" s="233"/>
      <c r="GU7" s="233"/>
      <c r="GV7" s="233"/>
      <c r="GW7" s="233"/>
      <c r="GX7" s="233"/>
      <c r="GY7" s="233"/>
      <c r="GZ7" s="233"/>
      <c r="HA7" s="233"/>
      <c r="HB7" s="233"/>
      <c r="HC7" s="233"/>
      <c r="HD7" s="233"/>
      <c r="HE7" s="233"/>
      <c r="HF7" s="233"/>
      <c r="HG7" s="233"/>
      <c r="HH7" s="233"/>
      <c r="HI7" s="233"/>
      <c r="HJ7" s="233"/>
      <c r="HK7" s="233"/>
      <c r="HL7" s="233"/>
      <c r="HM7" s="233"/>
      <c r="HN7" s="233"/>
      <c r="HO7" s="233"/>
      <c r="HP7" s="233"/>
      <c r="HQ7" s="233"/>
      <c r="HR7" s="233"/>
      <c r="HS7" s="233"/>
      <c r="HT7" s="233"/>
      <c r="HU7" s="233"/>
      <c r="HV7" s="233"/>
      <c r="HW7" s="233"/>
      <c r="HX7" s="233"/>
      <c r="HY7" s="233"/>
      <c r="HZ7" s="233"/>
      <c r="IA7" s="233"/>
      <c r="IB7" s="233"/>
      <c r="IC7" s="233"/>
      <c r="ID7" s="233"/>
      <c r="IE7" s="233"/>
      <c r="IF7" s="233"/>
      <c r="IG7" s="233"/>
      <c r="IH7" s="233"/>
      <c r="II7" s="233"/>
      <c r="IJ7" s="233"/>
      <c r="IK7" s="233"/>
      <c r="IL7" s="233"/>
      <c r="IM7" s="233"/>
      <c r="IN7" s="233"/>
      <c r="IO7" s="233"/>
      <c r="IP7" s="233"/>
      <c r="IQ7" s="233"/>
      <c r="IR7" s="233"/>
      <c r="IS7" s="233"/>
      <c r="IT7" s="233"/>
      <c r="IU7" s="233"/>
      <c r="IV7" s="233"/>
    </row>
    <row r="8" spans="1:256" x14ac:dyDescent="0.2">
      <c r="A8" s="229"/>
      <c r="B8" s="229"/>
      <c r="C8" s="230"/>
      <c r="D8" s="234" t="s">
        <v>701</v>
      </c>
      <c r="E8" s="235" t="s">
        <v>702</v>
      </c>
      <c r="F8" s="231"/>
      <c r="G8" s="236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3"/>
      <c r="CG8" s="233"/>
      <c r="CH8" s="233"/>
      <c r="CI8" s="233"/>
      <c r="CJ8" s="233"/>
      <c r="CK8" s="233"/>
      <c r="CL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  <c r="DA8" s="233"/>
      <c r="DB8" s="233"/>
      <c r="DC8" s="233"/>
      <c r="DD8" s="233"/>
      <c r="DE8" s="233"/>
      <c r="DF8" s="233"/>
      <c r="DG8" s="233"/>
      <c r="DH8" s="233"/>
      <c r="DI8" s="233"/>
      <c r="DJ8" s="233"/>
      <c r="DK8" s="233"/>
      <c r="DL8" s="233"/>
      <c r="DM8" s="233"/>
      <c r="DN8" s="233"/>
      <c r="DO8" s="233"/>
      <c r="DP8" s="233"/>
      <c r="DQ8" s="233"/>
      <c r="DR8" s="233"/>
      <c r="DS8" s="233"/>
      <c r="DT8" s="233"/>
      <c r="DU8" s="233"/>
      <c r="DV8" s="233"/>
      <c r="DW8" s="233"/>
      <c r="DX8" s="233"/>
      <c r="DY8" s="233"/>
      <c r="DZ8" s="233"/>
      <c r="EA8" s="233"/>
      <c r="EB8" s="233"/>
      <c r="EC8" s="233"/>
      <c r="ED8" s="233"/>
      <c r="EE8" s="233"/>
      <c r="EF8" s="233"/>
      <c r="EG8" s="233"/>
      <c r="EH8" s="233"/>
      <c r="EI8" s="233"/>
      <c r="EJ8" s="233"/>
      <c r="EK8" s="233"/>
      <c r="EL8" s="233"/>
      <c r="EM8" s="233"/>
      <c r="EN8" s="233"/>
      <c r="EO8" s="233"/>
      <c r="EP8" s="233"/>
      <c r="EQ8" s="233"/>
      <c r="ER8" s="233"/>
      <c r="ES8" s="233"/>
      <c r="ET8" s="233"/>
      <c r="EU8" s="233"/>
      <c r="EV8" s="233"/>
      <c r="EW8" s="233"/>
      <c r="EX8" s="233"/>
      <c r="EY8" s="233"/>
      <c r="EZ8" s="233"/>
      <c r="FA8" s="233"/>
      <c r="FB8" s="233"/>
      <c r="FC8" s="233"/>
      <c r="FD8" s="233"/>
      <c r="FE8" s="233"/>
      <c r="FF8" s="233"/>
      <c r="FG8" s="233"/>
      <c r="FH8" s="233"/>
      <c r="FI8" s="233"/>
      <c r="FJ8" s="233"/>
      <c r="FK8" s="233"/>
      <c r="FL8" s="233"/>
      <c r="FM8" s="233"/>
      <c r="FN8" s="233"/>
      <c r="FO8" s="233"/>
      <c r="FP8" s="233"/>
      <c r="FQ8" s="233"/>
      <c r="FR8" s="233"/>
      <c r="FS8" s="233"/>
      <c r="FT8" s="233"/>
      <c r="FU8" s="233"/>
      <c r="FV8" s="233"/>
      <c r="FW8" s="233"/>
      <c r="FX8" s="233"/>
      <c r="FY8" s="233"/>
      <c r="FZ8" s="233"/>
      <c r="GA8" s="233"/>
      <c r="GB8" s="233"/>
      <c r="GC8" s="233"/>
      <c r="GD8" s="233"/>
      <c r="GE8" s="233"/>
      <c r="GF8" s="233"/>
      <c r="GG8" s="233"/>
      <c r="GH8" s="233"/>
      <c r="GI8" s="233"/>
      <c r="GJ8" s="233"/>
      <c r="GK8" s="233"/>
      <c r="GL8" s="233"/>
      <c r="GM8" s="233"/>
      <c r="GN8" s="233"/>
      <c r="GO8" s="233"/>
      <c r="GP8" s="233"/>
      <c r="GQ8" s="233"/>
      <c r="GR8" s="233"/>
      <c r="GS8" s="233"/>
      <c r="GT8" s="233"/>
      <c r="GU8" s="233"/>
      <c r="GV8" s="233"/>
      <c r="GW8" s="233"/>
      <c r="GX8" s="233"/>
      <c r="GY8" s="233"/>
      <c r="GZ8" s="233"/>
      <c r="HA8" s="233"/>
      <c r="HB8" s="233"/>
      <c r="HC8" s="233"/>
      <c r="HD8" s="233"/>
      <c r="HE8" s="233"/>
      <c r="HF8" s="233"/>
      <c r="HG8" s="233"/>
      <c r="HH8" s="233"/>
      <c r="HI8" s="233"/>
      <c r="HJ8" s="233"/>
      <c r="HK8" s="233"/>
      <c r="HL8" s="233"/>
      <c r="HM8" s="233"/>
      <c r="HN8" s="233"/>
      <c r="HO8" s="233"/>
      <c r="HP8" s="233"/>
      <c r="HQ8" s="233"/>
      <c r="HR8" s="233"/>
      <c r="HS8" s="233"/>
      <c r="HT8" s="233"/>
      <c r="HU8" s="233"/>
      <c r="HV8" s="233"/>
      <c r="HW8" s="233"/>
      <c r="HX8" s="233"/>
      <c r="HY8" s="233"/>
      <c r="HZ8" s="233"/>
      <c r="IA8" s="233"/>
      <c r="IB8" s="233"/>
      <c r="IC8" s="233"/>
      <c r="ID8" s="233"/>
      <c r="IE8" s="233"/>
      <c r="IF8" s="233"/>
      <c r="IG8" s="233"/>
      <c r="IH8" s="233"/>
      <c r="II8" s="233"/>
      <c r="IJ8" s="233"/>
      <c r="IK8" s="233"/>
      <c r="IL8" s="233"/>
      <c r="IM8" s="233"/>
      <c r="IN8" s="233"/>
      <c r="IO8" s="233"/>
      <c r="IP8" s="233"/>
      <c r="IQ8" s="233"/>
      <c r="IR8" s="233"/>
      <c r="IS8" s="233"/>
      <c r="IT8" s="233"/>
      <c r="IU8" s="233"/>
      <c r="IV8" s="233"/>
    </row>
    <row r="9" spans="1:256" ht="15.75" x14ac:dyDescent="0.2">
      <c r="A9" s="237" t="s">
        <v>703</v>
      </c>
      <c r="B9" s="237"/>
      <c r="C9" s="237"/>
      <c r="D9" s="238">
        <f>D10+D19+D22+D32+D39+D74+D79</f>
        <v>184050157</v>
      </c>
      <c r="E9" s="238">
        <f>E10+E19+E22+E32+E39+E74+E79+E70+E72</f>
        <v>271655000</v>
      </c>
      <c r="F9" s="238">
        <f>D9+E9</f>
        <v>455705157</v>
      </c>
      <c r="G9" s="239">
        <f>F9/$F$9</f>
        <v>1</v>
      </c>
      <c r="H9" s="240">
        <f>+F9-MapaII!AA9</f>
        <v>0</v>
      </c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233"/>
      <c r="CI9" s="233"/>
      <c r="CJ9" s="233"/>
      <c r="CK9" s="233"/>
      <c r="CL9" s="233"/>
      <c r="CM9" s="233"/>
      <c r="CN9" s="233"/>
      <c r="CO9" s="233"/>
      <c r="CP9" s="233"/>
      <c r="CQ9" s="233"/>
      <c r="CR9" s="233"/>
      <c r="CS9" s="233"/>
      <c r="CT9" s="233"/>
      <c r="CU9" s="233"/>
      <c r="CV9" s="233"/>
      <c r="CW9" s="233"/>
      <c r="CX9" s="233"/>
      <c r="CY9" s="233"/>
      <c r="CZ9" s="233"/>
      <c r="DA9" s="233"/>
      <c r="DB9" s="233"/>
      <c r="DC9" s="233"/>
      <c r="DD9" s="233"/>
      <c r="DE9" s="233"/>
      <c r="DF9" s="233"/>
      <c r="DG9" s="233"/>
      <c r="DH9" s="233"/>
      <c r="DI9" s="233"/>
      <c r="DJ9" s="233"/>
      <c r="DK9" s="233"/>
      <c r="DL9" s="233"/>
      <c r="DM9" s="233"/>
      <c r="DN9" s="233"/>
      <c r="DO9" s="233"/>
      <c r="DP9" s="233"/>
      <c r="DQ9" s="233"/>
      <c r="DR9" s="233"/>
      <c r="DS9" s="233"/>
      <c r="DT9" s="233"/>
      <c r="DU9" s="233"/>
      <c r="DV9" s="233"/>
      <c r="DW9" s="233"/>
      <c r="DX9" s="233"/>
      <c r="DY9" s="233"/>
      <c r="DZ9" s="233"/>
      <c r="EA9" s="233"/>
      <c r="EB9" s="233"/>
      <c r="EC9" s="233"/>
      <c r="ED9" s="233"/>
      <c r="EE9" s="233"/>
      <c r="EF9" s="233"/>
      <c r="EG9" s="233"/>
      <c r="EH9" s="233"/>
      <c r="EI9" s="233"/>
      <c r="EJ9" s="233"/>
      <c r="EK9" s="233"/>
      <c r="EL9" s="233"/>
      <c r="EM9" s="233"/>
      <c r="EN9" s="233"/>
      <c r="EO9" s="233"/>
      <c r="EP9" s="233"/>
      <c r="EQ9" s="233"/>
      <c r="ER9" s="233"/>
      <c r="ES9" s="233"/>
      <c r="ET9" s="233"/>
      <c r="EU9" s="233"/>
      <c r="EV9" s="233"/>
      <c r="EW9" s="233"/>
      <c r="EX9" s="233"/>
      <c r="EY9" s="233"/>
      <c r="EZ9" s="233"/>
      <c r="FA9" s="233"/>
      <c r="FB9" s="233"/>
      <c r="FC9" s="233"/>
      <c r="FD9" s="233"/>
      <c r="FE9" s="233"/>
      <c r="FF9" s="233"/>
      <c r="FG9" s="233"/>
      <c r="FH9" s="233"/>
      <c r="FI9" s="233"/>
      <c r="FJ9" s="233"/>
      <c r="FK9" s="233"/>
      <c r="FL9" s="233"/>
      <c r="FM9" s="233"/>
      <c r="FN9" s="233"/>
      <c r="FO9" s="233"/>
      <c r="FP9" s="233"/>
      <c r="FQ9" s="233"/>
      <c r="FR9" s="233"/>
      <c r="FS9" s="233"/>
      <c r="FT9" s="233"/>
      <c r="FU9" s="233"/>
      <c r="FV9" s="233"/>
      <c r="FW9" s="233"/>
      <c r="FX9" s="233"/>
      <c r="FY9" s="233"/>
      <c r="FZ9" s="233"/>
      <c r="GA9" s="233"/>
      <c r="GB9" s="233"/>
      <c r="GC9" s="233"/>
      <c r="GD9" s="233"/>
      <c r="GE9" s="233"/>
      <c r="GF9" s="233"/>
      <c r="GG9" s="233"/>
      <c r="GH9" s="233"/>
      <c r="GI9" s="233"/>
      <c r="GJ9" s="233"/>
      <c r="GK9" s="233"/>
      <c r="GL9" s="233"/>
      <c r="GM9" s="233"/>
      <c r="GN9" s="233"/>
      <c r="GO9" s="233"/>
      <c r="GP9" s="233"/>
      <c r="GQ9" s="233"/>
      <c r="GR9" s="233"/>
      <c r="GS9" s="233"/>
      <c r="GT9" s="233"/>
      <c r="GU9" s="233"/>
      <c r="GV9" s="233"/>
      <c r="GW9" s="233"/>
      <c r="GX9" s="233"/>
      <c r="GY9" s="233"/>
      <c r="GZ9" s="233"/>
      <c r="HA9" s="233"/>
      <c r="HB9" s="233"/>
      <c r="HC9" s="233"/>
      <c r="HD9" s="233"/>
      <c r="HE9" s="233"/>
      <c r="HF9" s="233"/>
      <c r="HG9" s="233"/>
      <c r="HH9" s="233"/>
      <c r="HI9" s="233"/>
      <c r="HJ9" s="233"/>
      <c r="HK9" s="233"/>
      <c r="HL9" s="233"/>
      <c r="HM9" s="233"/>
      <c r="HN9" s="233"/>
      <c r="HO9" s="233"/>
      <c r="HP9" s="233"/>
      <c r="HQ9" s="233"/>
      <c r="HR9" s="233"/>
      <c r="HS9" s="233"/>
      <c r="HT9" s="233"/>
      <c r="HU9" s="233"/>
      <c r="HV9" s="233"/>
      <c r="HW9" s="233"/>
      <c r="HX9" s="233"/>
      <c r="HY9" s="233"/>
      <c r="HZ9" s="233"/>
      <c r="IA9" s="233"/>
      <c r="IB9" s="233"/>
      <c r="IC9" s="233"/>
      <c r="ID9" s="233"/>
      <c r="IE9" s="233"/>
      <c r="IF9" s="233"/>
      <c r="IG9" s="233"/>
      <c r="IH9" s="233"/>
      <c r="II9" s="233"/>
      <c r="IJ9" s="233"/>
      <c r="IK9" s="233"/>
      <c r="IL9" s="233"/>
      <c r="IM9" s="233"/>
      <c r="IN9" s="233"/>
      <c r="IO9" s="233"/>
      <c r="IP9" s="233"/>
      <c r="IQ9" s="233"/>
      <c r="IR9" s="233"/>
      <c r="IS9" s="233"/>
      <c r="IT9" s="233"/>
      <c r="IU9" s="233"/>
      <c r="IV9" s="233"/>
    </row>
    <row r="10" spans="1:256" x14ac:dyDescent="0.2">
      <c r="A10" s="241" t="s">
        <v>704</v>
      </c>
      <c r="B10" s="242"/>
      <c r="C10" s="243" t="s">
        <v>705</v>
      </c>
      <c r="D10" s="244">
        <f>D11</f>
        <v>184050157</v>
      </c>
      <c r="E10" s="244">
        <f>SUM(E11:E17)</f>
        <v>0</v>
      </c>
      <c r="F10" s="244">
        <f>D10+E10</f>
        <v>184050157</v>
      </c>
      <c r="G10" s="245">
        <f>F10/$F$9</f>
        <v>0.40387990825392395</v>
      </c>
      <c r="H10" s="246"/>
      <c r="I10" s="246"/>
      <c r="J10" s="246"/>
      <c r="K10" s="246"/>
      <c r="L10" s="247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246"/>
      <c r="BS10" s="246"/>
      <c r="BT10" s="246"/>
      <c r="BU10" s="246"/>
      <c r="BV10" s="246"/>
      <c r="BW10" s="246"/>
      <c r="BX10" s="246"/>
      <c r="BY10" s="246"/>
      <c r="BZ10" s="246"/>
      <c r="CA10" s="246"/>
      <c r="CB10" s="246"/>
      <c r="CC10" s="246"/>
      <c r="CD10" s="246"/>
      <c r="CE10" s="246"/>
      <c r="CF10" s="246"/>
      <c r="CG10" s="246"/>
      <c r="CH10" s="246"/>
      <c r="CI10" s="246"/>
      <c r="CJ10" s="246"/>
      <c r="CK10" s="246"/>
      <c r="CL10" s="246"/>
      <c r="CM10" s="246"/>
      <c r="CN10" s="246"/>
      <c r="CO10" s="246"/>
      <c r="CP10" s="246"/>
      <c r="CQ10" s="246"/>
      <c r="CR10" s="246"/>
      <c r="CS10" s="246"/>
      <c r="CT10" s="246"/>
      <c r="CU10" s="246"/>
      <c r="CV10" s="246"/>
      <c r="CW10" s="246"/>
      <c r="CX10" s="246"/>
      <c r="CY10" s="246"/>
      <c r="CZ10" s="246"/>
      <c r="DA10" s="246"/>
      <c r="DB10" s="246"/>
      <c r="DC10" s="246"/>
      <c r="DD10" s="246"/>
      <c r="DE10" s="246"/>
      <c r="DF10" s="246"/>
      <c r="DG10" s="246"/>
      <c r="DH10" s="246"/>
      <c r="DI10" s="246"/>
      <c r="DJ10" s="246"/>
      <c r="DK10" s="246"/>
      <c r="DL10" s="246"/>
      <c r="DM10" s="246"/>
      <c r="DN10" s="246"/>
      <c r="DO10" s="246"/>
      <c r="DP10" s="246"/>
      <c r="DQ10" s="246"/>
      <c r="DR10" s="246"/>
      <c r="DS10" s="246"/>
      <c r="DT10" s="246"/>
      <c r="DU10" s="246"/>
      <c r="DV10" s="246"/>
      <c r="DW10" s="246"/>
      <c r="DX10" s="246"/>
      <c r="DY10" s="246"/>
      <c r="DZ10" s="246"/>
      <c r="EA10" s="246"/>
      <c r="EB10" s="246"/>
      <c r="EC10" s="246"/>
      <c r="ED10" s="246"/>
      <c r="EE10" s="246"/>
      <c r="EF10" s="246"/>
      <c r="EG10" s="246"/>
      <c r="EH10" s="246"/>
      <c r="EI10" s="246"/>
      <c r="EJ10" s="246"/>
      <c r="EK10" s="246"/>
      <c r="EL10" s="246"/>
      <c r="EM10" s="246"/>
      <c r="EN10" s="246"/>
      <c r="EO10" s="246"/>
      <c r="EP10" s="246"/>
      <c r="EQ10" s="246"/>
      <c r="ER10" s="246"/>
      <c r="ES10" s="246"/>
      <c r="ET10" s="246"/>
      <c r="EU10" s="246"/>
      <c r="EV10" s="246"/>
      <c r="EW10" s="246"/>
      <c r="EX10" s="246"/>
      <c r="EY10" s="246"/>
      <c r="EZ10" s="246"/>
      <c r="FA10" s="246"/>
      <c r="FB10" s="246"/>
      <c r="FC10" s="246"/>
      <c r="FD10" s="246"/>
      <c r="FE10" s="246"/>
      <c r="FF10" s="246"/>
      <c r="FG10" s="246"/>
      <c r="FH10" s="246"/>
      <c r="FI10" s="246"/>
      <c r="FJ10" s="246"/>
      <c r="FK10" s="246"/>
      <c r="FL10" s="246"/>
      <c r="FM10" s="246"/>
      <c r="FN10" s="246"/>
      <c r="FO10" s="246"/>
      <c r="FP10" s="246"/>
      <c r="FQ10" s="246"/>
      <c r="FR10" s="246"/>
      <c r="FS10" s="246"/>
      <c r="FT10" s="246"/>
      <c r="FU10" s="246"/>
      <c r="FV10" s="246"/>
      <c r="FW10" s="246"/>
      <c r="FX10" s="246"/>
      <c r="FY10" s="246"/>
      <c r="FZ10" s="246"/>
      <c r="GA10" s="246"/>
      <c r="GB10" s="246"/>
      <c r="GC10" s="246"/>
      <c r="GD10" s="246"/>
      <c r="GE10" s="246"/>
      <c r="GF10" s="246"/>
      <c r="GG10" s="246"/>
      <c r="GH10" s="246"/>
      <c r="GI10" s="246"/>
      <c r="GJ10" s="246"/>
      <c r="GK10" s="246"/>
      <c r="GL10" s="246"/>
      <c r="GM10" s="246"/>
      <c r="GN10" s="246"/>
      <c r="GO10" s="246"/>
      <c r="GP10" s="246"/>
      <c r="GQ10" s="246"/>
      <c r="GR10" s="246"/>
      <c r="GS10" s="246"/>
      <c r="GT10" s="246"/>
      <c r="GU10" s="246"/>
      <c r="GV10" s="246"/>
      <c r="GW10" s="246"/>
      <c r="GX10" s="246"/>
      <c r="GY10" s="246"/>
      <c r="GZ10" s="246"/>
      <c r="HA10" s="246"/>
      <c r="HB10" s="246"/>
      <c r="HC10" s="246"/>
      <c r="HD10" s="246"/>
      <c r="HE10" s="246"/>
      <c r="HF10" s="246"/>
      <c r="HG10" s="246"/>
      <c r="HH10" s="246"/>
      <c r="HI10" s="246"/>
      <c r="HJ10" s="246"/>
      <c r="HK10" s="246"/>
      <c r="HL10" s="246"/>
      <c r="HM10" s="246"/>
      <c r="HN10" s="246"/>
      <c r="HO10" s="246"/>
      <c r="HP10" s="246"/>
      <c r="HQ10" s="246"/>
      <c r="HR10" s="246"/>
      <c r="HS10" s="246"/>
      <c r="HT10" s="246"/>
      <c r="HU10" s="246"/>
      <c r="HV10" s="246"/>
      <c r="HW10" s="246"/>
      <c r="HX10" s="246"/>
      <c r="HY10" s="246"/>
      <c r="HZ10" s="246"/>
      <c r="IA10" s="246"/>
      <c r="IB10" s="246"/>
      <c r="IC10" s="246"/>
      <c r="ID10" s="246"/>
      <c r="IE10" s="246"/>
      <c r="IF10" s="246"/>
      <c r="IG10" s="246"/>
      <c r="IH10" s="246"/>
      <c r="II10" s="246"/>
      <c r="IJ10" s="246"/>
      <c r="IK10" s="246"/>
      <c r="IL10" s="246"/>
      <c r="IM10" s="246"/>
      <c r="IN10" s="246"/>
      <c r="IO10" s="246"/>
      <c r="IP10" s="246"/>
      <c r="IQ10" s="246"/>
      <c r="IR10" s="246"/>
      <c r="IS10" s="246"/>
      <c r="IT10" s="246"/>
      <c r="IU10" s="246"/>
      <c r="IV10" s="246"/>
    </row>
    <row r="11" spans="1:256" x14ac:dyDescent="0.25">
      <c r="A11" s="248" t="s">
        <v>706</v>
      </c>
      <c r="B11" s="249"/>
      <c r="C11" s="250" t="s">
        <v>707</v>
      </c>
      <c r="D11" s="251">
        <f>SUM(D12:D18)</f>
        <v>184050157</v>
      </c>
      <c r="E11" s="251">
        <f>SUM(E12:E18)</f>
        <v>0</v>
      </c>
      <c r="F11" s="252">
        <f>D11+E11</f>
        <v>184050157</v>
      </c>
      <c r="G11" s="253">
        <f t="shared" ref="G11:G79" si="0">F11/$F$9</f>
        <v>0.40387990825392395</v>
      </c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4"/>
      <c r="CC11" s="254"/>
      <c r="CD11" s="254"/>
      <c r="CE11" s="254"/>
      <c r="CF11" s="254"/>
      <c r="CG11" s="254"/>
      <c r="CH11" s="254"/>
      <c r="CI11" s="254"/>
      <c r="CJ11" s="254"/>
      <c r="CK11" s="254"/>
      <c r="CL11" s="254"/>
      <c r="CM11" s="254"/>
      <c r="CN11" s="254"/>
      <c r="CO11" s="254"/>
      <c r="CP11" s="254"/>
      <c r="CQ11" s="254"/>
      <c r="CR11" s="254"/>
      <c r="CS11" s="254"/>
      <c r="CT11" s="254"/>
      <c r="CU11" s="254"/>
      <c r="CV11" s="254"/>
      <c r="CW11" s="254"/>
      <c r="CX11" s="254"/>
      <c r="CY11" s="254"/>
      <c r="CZ11" s="254"/>
      <c r="DA11" s="254"/>
      <c r="DB11" s="254"/>
      <c r="DC11" s="254"/>
      <c r="DD11" s="254"/>
      <c r="DE11" s="254"/>
      <c r="DF11" s="254"/>
      <c r="DG11" s="254"/>
      <c r="DH11" s="254"/>
      <c r="DI11" s="254"/>
      <c r="DJ11" s="254"/>
      <c r="DK11" s="254"/>
      <c r="DL11" s="254"/>
      <c r="DM11" s="254"/>
      <c r="DN11" s="254"/>
      <c r="DO11" s="254"/>
      <c r="DP11" s="254"/>
      <c r="DQ11" s="254"/>
      <c r="DR11" s="254"/>
      <c r="DS11" s="254"/>
      <c r="DT11" s="254"/>
      <c r="DU11" s="254"/>
      <c r="DV11" s="254"/>
      <c r="DW11" s="254"/>
      <c r="DX11" s="254"/>
      <c r="DY11" s="254"/>
      <c r="DZ11" s="254"/>
      <c r="EA11" s="254"/>
      <c r="EB11" s="254"/>
      <c r="EC11" s="254"/>
      <c r="ED11" s="254"/>
      <c r="EE11" s="254"/>
      <c r="EF11" s="254"/>
      <c r="EG11" s="254"/>
      <c r="EH11" s="254"/>
      <c r="EI11" s="254"/>
      <c r="EJ11" s="254"/>
      <c r="EK11" s="254"/>
      <c r="EL11" s="254"/>
      <c r="EM11" s="254"/>
      <c r="EN11" s="254"/>
      <c r="EO11" s="254"/>
      <c r="EP11" s="254"/>
      <c r="EQ11" s="254"/>
      <c r="ER11" s="254"/>
      <c r="ES11" s="254"/>
      <c r="ET11" s="254"/>
      <c r="EU11" s="254"/>
      <c r="EV11" s="254"/>
      <c r="EW11" s="254"/>
      <c r="EX11" s="254"/>
      <c r="EY11" s="254"/>
      <c r="EZ11" s="254"/>
      <c r="FA11" s="254"/>
      <c r="FB11" s="254"/>
      <c r="FC11" s="254"/>
      <c r="FD11" s="254"/>
      <c r="FE11" s="254"/>
      <c r="FF11" s="254"/>
      <c r="FG11" s="254"/>
      <c r="FH11" s="254"/>
      <c r="FI11" s="254"/>
      <c r="FJ11" s="254"/>
      <c r="FK11" s="254"/>
      <c r="FL11" s="254"/>
      <c r="FM11" s="254"/>
      <c r="FN11" s="254"/>
      <c r="FO11" s="254"/>
      <c r="FP11" s="254"/>
      <c r="FQ11" s="254"/>
      <c r="FR11" s="254"/>
      <c r="FS11" s="254"/>
      <c r="FT11" s="254"/>
      <c r="FU11" s="254"/>
      <c r="FV11" s="254"/>
      <c r="FW11" s="254"/>
      <c r="FX11" s="254"/>
      <c r="FY11" s="254"/>
      <c r="FZ11" s="254"/>
      <c r="GA11" s="254"/>
      <c r="GB11" s="254"/>
      <c r="GC11" s="254"/>
      <c r="GD11" s="254"/>
      <c r="GE11" s="254"/>
      <c r="GF11" s="254"/>
      <c r="GG11" s="254"/>
      <c r="GH11" s="254"/>
      <c r="GI11" s="254"/>
      <c r="GJ11" s="254"/>
      <c r="GK11" s="254"/>
      <c r="GL11" s="254"/>
      <c r="GM11" s="254"/>
      <c r="GN11" s="254"/>
      <c r="GO11" s="254"/>
      <c r="GP11" s="254"/>
      <c r="GQ11" s="254"/>
      <c r="GR11" s="254"/>
      <c r="GS11" s="254"/>
      <c r="GT11" s="254"/>
      <c r="GU11" s="254"/>
      <c r="GV11" s="254"/>
      <c r="GW11" s="254"/>
      <c r="GX11" s="254"/>
      <c r="GY11" s="254"/>
      <c r="GZ11" s="254"/>
      <c r="HA11" s="254"/>
      <c r="HB11" s="254"/>
      <c r="HC11" s="254"/>
      <c r="HD11" s="254"/>
      <c r="HE11" s="254"/>
      <c r="HF11" s="254"/>
      <c r="HG11" s="254"/>
      <c r="HH11" s="254"/>
      <c r="HI11" s="254"/>
      <c r="HJ11" s="254"/>
      <c r="HK11" s="254"/>
      <c r="HL11" s="254"/>
      <c r="HM11" s="254"/>
      <c r="HN11" s="254"/>
      <c r="HO11" s="254"/>
      <c r="HP11" s="254"/>
      <c r="HQ11" s="254"/>
      <c r="HR11" s="254"/>
      <c r="HS11" s="254"/>
      <c r="HT11" s="254"/>
      <c r="HU11" s="254"/>
      <c r="HV11" s="254"/>
      <c r="HW11" s="254"/>
      <c r="HX11" s="254"/>
      <c r="HY11" s="254"/>
      <c r="HZ11" s="254"/>
      <c r="IA11" s="254"/>
      <c r="IB11" s="254"/>
      <c r="IC11" s="254"/>
      <c r="ID11" s="254"/>
      <c r="IE11" s="254"/>
      <c r="IF11" s="254"/>
      <c r="IG11" s="254"/>
      <c r="IH11" s="254"/>
      <c r="II11" s="254"/>
      <c r="IJ11" s="254"/>
      <c r="IK11" s="254"/>
      <c r="IL11" s="254"/>
      <c r="IM11" s="254"/>
      <c r="IN11" s="254"/>
      <c r="IO11" s="254"/>
      <c r="IP11" s="254"/>
      <c r="IQ11" s="254"/>
      <c r="IR11" s="254"/>
      <c r="IS11" s="254"/>
      <c r="IT11" s="254"/>
      <c r="IU11" s="254"/>
      <c r="IV11" s="254"/>
    </row>
    <row r="12" spans="1:256" x14ac:dyDescent="0.25">
      <c r="A12" s="248" t="s">
        <v>708</v>
      </c>
      <c r="B12" s="255" t="s">
        <v>424</v>
      </c>
      <c r="C12" s="256" t="s">
        <v>709</v>
      </c>
      <c r="D12" s="251">
        <f>+MapaII!AA10-GETPIVOTDATA("valor",Sheet1!$I$2,"rubrica","02.01.01.02.07")</f>
        <v>129688012</v>
      </c>
      <c r="E12" s="252"/>
      <c r="F12" s="252">
        <f t="shared" ref="F12:F17" si="1">D12+E12</f>
        <v>129688012</v>
      </c>
      <c r="G12" s="257">
        <f>F12/$F$9</f>
        <v>0.28458754527546415</v>
      </c>
      <c r="H12" s="254"/>
      <c r="I12" s="267"/>
      <c r="J12" s="267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  <c r="BO12" s="254"/>
      <c r="BP12" s="254"/>
      <c r="BQ12" s="254"/>
      <c r="BR12" s="254"/>
      <c r="BS12" s="254"/>
      <c r="BT12" s="254"/>
      <c r="BU12" s="254"/>
      <c r="BV12" s="254"/>
      <c r="BW12" s="254"/>
      <c r="BX12" s="254"/>
      <c r="BY12" s="254"/>
      <c r="BZ12" s="254"/>
      <c r="CA12" s="254"/>
      <c r="CB12" s="254"/>
      <c r="CC12" s="254"/>
      <c r="CD12" s="254"/>
      <c r="CE12" s="254"/>
      <c r="CF12" s="254"/>
      <c r="CG12" s="254"/>
      <c r="CH12" s="254"/>
      <c r="CI12" s="254"/>
      <c r="CJ12" s="254"/>
      <c r="CK12" s="254"/>
      <c r="CL12" s="254"/>
      <c r="CM12" s="254"/>
      <c r="CN12" s="254"/>
      <c r="CO12" s="254"/>
      <c r="CP12" s="254"/>
      <c r="CQ12" s="254"/>
      <c r="CR12" s="254"/>
      <c r="CS12" s="254"/>
      <c r="CT12" s="254"/>
      <c r="CU12" s="254"/>
      <c r="CV12" s="254"/>
      <c r="CW12" s="254"/>
      <c r="CX12" s="254"/>
      <c r="CY12" s="254"/>
      <c r="CZ12" s="254"/>
      <c r="DA12" s="254"/>
      <c r="DB12" s="254"/>
      <c r="DC12" s="254"/>
      <c r="DD12" s="254"/>
      <c r="DE12" s="254"/>
      <c r="DF12" s="254"/>
      <c r="DG12" s="254"/>
      <c r="DH12" s="254"/>
      <c r="DI12" s="254"/>
      <c r="DJ12" s="254"/>
      <c r="DK12" s="254"/>
      <c r="DL12" s="254"/>
      <c r="DM12" s="254"/>
      <c r="DN12" s="254"/>
      <c r="DO12" s="254"/>
      <c r="DP12" s="254"/>
      <c r="DQ12" s="254"/>
      <c r="DR12" s="254"/>
      <c r="DS12" s="254"/>
      <c r="DT12" s="254"/>
      <c r="DU12" s="254"/>
      <c r="DV12" s="254"/>
      <c r="DW12" s="254"/>
      <c r="DX12" s="254"/>
      <c r="DY12" s="254"/>
      <c r="DZ12" s="254"/>
      <c r="EA12" s="254"/>
      <c r="EB12" s="254"/>
      <c r="EC12" s="254"/>
      <c r="ED12" s="254"/>
      <c r="EE12" s="254"/>
      <c r="EF12" s="254"/>
      <c r="EG12" s="254"/>
      <c r="EH12" s="254"/>
      <c r="EI12" s="254"/>
      <c r="EJ12" s="254"/>
      <c r="EK12" s="254"/>
      <c r="EL12" s="254"/>
      <c r="EM12" s="254"/>
      <c r="EN12" s="254"/>
      <c r="EO12" s="254"/>
      <c r="EP12" s="254"/>
      <c r="EQ12" s="254"/>
      <c r="ER12" s="254"/>
      <c r="ES12" s="254"/>
      <c r="ET12" s="254"/>
      <c r="EU12" s="254"/>
      <c r="EV12" s="254"/>
      <c r="EW12" s="254"/>
      <c r="EX12" s="254"/>
      <c r="EY12" s="254"/>
      <c r="EZ12" s="254"/>
      <c r="FA12" s="254"/>
      <c r="FB12" s="254"/>
      <c r="FC12" s="254"/>
      <c r="FD12" s="254"/>
      <c r="FE12" s="254"/>
      <c r="FF12" s="254"/>
      <c r="FG12" s="254"/>
      <c r="FH12" s="254"/>
      <c r="FI12" s="254"/>
      <c r="FJ12" s="254"/>
      <c r="FK12" s="254"/>
      <c r="FL12" s="254"/>
      <c r="FM12" s="254"/>
      <c r="FN12" s="254"/>
      <c r="FO12" s="254"/>
      <c r="FP12" s="254"/>
      <c r="FQ12" s="254"/>
      <c r="FR12" s="254"/>
      <c r="FS12" s="254"/>
      <c r="FT12" s="254"/>
      <c r="FU12" s="254"/>
      <c r="FV12" s="254"/>
      <c r="FW12" s="254"/>
      <c r="FX12" s="254"/>
      <c r="FY12" s="254"/>
      <c r="FZ12" s="254"/>
      <c r="GA12" s="254"/>
      <c r="GB12" s="254"/>
      <c r="GC12" s="254"/>
      <c r="GD12" s="254"/>
      <c r="GE12" s="254"/>
      <c r="GF12" s="254"/>
      <c r="GG12" s="254"/>
      <c r="GH12" s="254"/>
      <c r="GI12" s="254"/>
      <c r="GJ12" s="254"/>
      <c r="GK12" s="254"/>
      <c r="GL12" s="254"/>
      <c r="GM12" s="254"/>
      <c r="GN12" s="254"/>
      <c r="GO12" s="254"/>
      <c r="GP12" s="254"/>
      <c r="GQ12" s="254"/>
      <c r="GR12" s="254"/>
      <c r="GS12" s="254"/>
      <c r="GT12" s="254"/>
      <c r="GU12" s="254"/>
      <c r="GV12" s="254"/>
      <c r="GW12" s="254"/>
      <c r="GX12" s="254"/>
      <c r="GY12" s="254"/>
      <c r="GZ12" s="254"/>
      <c r="HA12" s="254"/>
      <c r="HB12" s="254"/>
      <c r="HC12" s="254"/>
      <c r="HD12" s="254"/>
      <c r="HE12" s="254"/>
      <c r="HF12" s="254"/>
      <c r="HG12" s="254"/>
      <c r="HH12" s="254"/>
      <c r="HI12" s="254"/>
      <c r="HJ12" s="254"/>
      <c r="HK12" s="254"/>
      <c r="HL12" s="254"/>
      <c r="HM12" s="254"/>
      <c r="HN12" s="254"/>
      <c r="HO12" s="254"/>
      <c r="HP12" s="254"/>
      <c r="HQ12" s="254"/>
      <c r="HR12" s="254"/>
      <c r="HS12" s="254"/>
      <c r="HT12" s="254"/>
      <c r="HU12" s="254"/>
      <c r="HV12" s="254"/>
      <c r="HW12" s="254"/>
      <c r="HX12" s="254"/>
      <c r="HY12" s="254"/>
      <c r="HZ12" s="254"/>
      <c r="IA12" s="254"/>
      <c r="IB12" s="254"/>
      <c r="IC12" s="254"/>
      <c r="ID12" s="254"/>
      <c r="IE12" s="254"/>
      <c r="IF12" s="254"/>
      <c r="IG12" s="254"/>
      <c r="IH12" s="254"/>
      <c r="II12" s="254"/>
      <c r="IJ12" s="254"/>
      <c r="IK12" s="254"/>
      <c r="IL12" s="254"/>
      <c r="IM12" s="254"/>
      <c r="IN12" s="254"/>
      <c r="IO12" s="254"/>
      <c r="IP12" s="254"/>
      <c r="IQ12" s="254"/>
      <c r="IR12" s="254"/>
      <c r="IS12" s="254"/>
      <c r="IT12" s="254"/>
      <c r="IU12" s="254"/>
      <c r="IV12" s="254"/>
    </row>
    <row r="13" spans="1:256" x14ac:dyDescent="0.25">
      <c r="A13" s="258" t="s">
        <v>710</v>
      </c>
      <c r="B13" s="255" t="s">
        <v>492</v>
      </c>
      <c r="C13" s="256" t="s">
        <v>493</v>
      </c>
      <c r="D13" s="251">
        <f>+MapaII!AA40-GETPIVOTDATA("valor",Sheet1!$I$2,"rubrica","02.02.02.01.03.01")</f>
        <v>27399480</v>
      </c>
      <c r="E13" s="252"/>
      <c r="F13" s="252">
        <f t="shared" si="1"/>
        <v>27399480</v>
      </c>
      <c r="G13" s="257">
        <f t="shared" si="0"/>
        <v>6.0125455196461598E-2</v>
      </c>
      <c r="H13" s="254"/>
      <c r="I13" s="267"/>
      <c r="J13" s="268" t="e">
        <f>+GETPIVOTDATA("procv",#REF!)-E9</f>
        <v>#REF!</v>
      </c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54"/>
      <c r="BW13" s="254"/>
      <c r="BX13" s="254"/>
      <c r="BY13" s="254"/>
      <c r="BZ13" s="254"/>
      <c r="CA13" s="254"/>
      <c r="CB13" s="254"/>
      <c r="CC13" s="254"/>
      <c r="CD13" s="254"/>
      <c r="CE13" s="254"/>
      <c r="CF13" s="254"/>
      <c r="CG13" s="254"/>
      <c r="CH13" s="254"/>
      <c r="CI13" s="254"/>
      <c r="CJ13" s="254"/>
      <c r="CK13" s="254"/>
      <c r="CL13" s="254"/>
      <c r="CM13" s="254"/>
      <c r="CN13" s="254"/>
      <c r="CO13" s="254"/>
      <c r="CP13" s="254"/>
      <c r="CQ13" s="254"/>
      <c r="CR13" s="254"/>
      <c r="CS13" s="254"/>
      <c r="CT13" s="254"/>
      <c r="CU13" s="254"/>
      <c r="CV13" s="254"/>
      <c r="CW13" s="254"/>
      <c r="CX13" s="254"/>
      <c r="CY13" s="254"/>
      <c r="CZ13" s="254"/>
      <c r="DA13" s="254"/>
      <c r="DB13" s="254"/>
      <c r="DC13" s="254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4"/>
      <c r="DV13" s="254"/>
      <c r="DW13" s="254"/>
      <c r="DX13" s="254"/>
      <c r="DY13" s="254"/>
      <c r="DZ13" s="254"/>
      <c r="EA13" s="254"/>
      <c r="EB13" s="254"/>
      <c r="EC13" s="254"/>
      <c r="ED13" s="254"/>
      <c r="EE13" s="254"/>
      <c r="EF13" s="254"/>
      <c r="EG13" s="254"/>
      <c r="EH13" s="254"/>
      <c r="EI13" s="254"/>
      <c r="EJ13" s="254"/>
      <c r="EK13" s="254"/>
      <c r="EL13" s="254"/>
      <c r="EM13" s="254"/>
      <c r="EN13" s="254"/>
      <c r="EO13" s="254"/>
      <c r="EP13" s="254"/>
      <c r="EQ13" s="254"/>
      <c r="ER13" s="254"/>
      <c r="ES13" s="254"/>
      <c r="ET13" s="254"/>
      <c r="EU13" s="254"/>
      <c r="EV13" s="254"/>
      <c r="EW13" s="254"/>
      <c r="EX13" s="254"/>
      <c r="EY13" s="254"/>
      <c r="EZ13" s="254"/>
      <c r="FA13" s="254"/>
      <c r="FB13" s="254"/>
      <c r="FC13" s="254"/>
      <c r="FD13" s="254"/>
      <c r="FE13" s="254"/>
      <c r="FF13" s="254"/>
      <c r="FG13" s="254"/>
      <c r="FH13" s="254"/>
      <c r="FI13" s="254"/>
      <c r="FJ13" s="254"/>
      <c r="FK13" s="254"/>
      <c r="FL13" s="254"/>
      <c r="FM13" s="254"/>
      <c r="FN13" s="254"/>
      <c r="FO13" s="254"/>
      <c r="FP13" s="254"/>
      <c r="FQ13" s="254"/>
      <c r="FR13" s="254"/>
      <c r="FS13" s="254"/>
      <c r="FT13" s="254"/>
      <c r="FU13" s="254"/>
      <c r="FV13" s="254"/>
      <c r="FW13" s="254"/>
      <c r="FX13" s="254"/>
      <c r="FY13" s="254"/>
      <c r="FZ13" s="254"/>
      <c r="GA13" s="254"/>
      <c r="GB13" s="254"/>
      <c r="GC13" s="254"/>
      <c r="GD13" s="254"/>
      <c r="GE13" s="254"/>
      <c r="GF13" s="254"/>
      <c r="GG13" s="254"/>
      <c r="GH13" s="254"/>
      <c r="GI13" s="254"/>
      <c r="GJ13" s="254"/>
      <c r="GK13" s="254"/>
      <c r="GL13" s="254"/>
      <c r="GM13" s="254"/>
      <c r="GN13" s="254"/>
      <c r="GO13" s="254"/>
      <c r="GP13" s="254"/>
      <c r="GQ13" s="254"/>
      <c r="GR13" s="254"/>
      <c r="GS13" s="254"/>
      <c r="GT13" s="254"/>
      <c r="GU13" s="254"/>
      <c r="GV13" s="254"/>
      <c r="GW13" s="254"/>
      <c r="GX13" s="254"/>
      <c r="GY13" s="254"/>
      <c r="GZ13" s="254"/>
      <c r="HA13" s="254"/>
      <c r="HB13" s="254"/>
      <c r="HC13" s="254"/>
      <c r="HD13" s="254"/>
      <c r="HE13" s="254"/>
      <c r="HF13" s="254"/>
      <c r="HG13" s="254"/>
      <c r="HH13" s="254"/>
      <c r="HI13" s="254"/>
      <c r="HJ13" s="254"/>
      <c r="HK13" s="254"/>
      <c r="HL13" s="254"/>
      <c r="HM13" s="254"/>
      <c r="HN13" s="254"/>
      <c r="HO13" s="254"/>
      <c r="HP13" s="254"/>
      <c r="HQ13" s="254"/>
      <c r="HR13" s="254"/>
      <c r="HS13" s="254"/>
      <c r="HT13" s="254"/>
      <c r="HU13" s="254"/>
      <c r="HV13" s="254"/>
      <c r="HW13" s="254"/>
      <c r="HX13" s="254"/>
      <c r="HY13" s="254"/>
      <c r="HZ13" s="254"/>
      <c r="IA13" s="254"/>
      <c r="IB13" s="254"/>
      <c r="IC13" s="254"/>
      <c r="ID13" s="254"/>
      <c r="IE13" s="254"/>
      <c r="IF13" s="254"/>
      <c r="IG13" s="254"/>
      <c r="IH13" s="254"/>
      <c r="II13" s="254"/>
      <c r="IJ13" s="254"/>
      <c r="IK13" s="254"/>
      <c r="IL13" s="254"/>
      <c r="IM13" s="254"/>
      <c r="IN13" s="254"/>
      <c r="IO13" s="254"/>
      <c r="IP13" s="254"/>
      <c r="IQ13" s="254"/>
      <c r="IR13" s="254"/>
      <c r="IS13" s="254"/>
      <c r="IT13" s="254"/>
      <c r="IU13" s="254"/>
      <c r="IV13" s="254"/>
    </row>
    <row r="14" spans="1:256" x14ac:dyDescent="0.25">
      <c r="A14" s="248" t="s">
        <v>711</v>
      </c>
      <c r="B14" s="255" t="s">
        <v>555</v>
      </c>
      <c r="C14" s="256" t="s">
        <v>556</v>
      </c>
      <c r="D14" s="251">
        <f>+MapaII!AA72</f>
        <v>9136765</v>
      </c>
      <c r="E14" s="252"/>
      <c r="F14" s="252">
        <f t="shared" si="1"/>
        <v>9136765</v>
      </c>
      <c r="G14" s="257">
        <f t="shared" si="0"/>
        <v>2.0049729215594548E-2</v>
      </c>
      <c r="H14" s="254"/>
      <c r="I14" s="270"/>
      <c r="J14" s="270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  <c r="BR14" s="254"/>
      <c r="BS14" s="254"/>
      <c r="BT14" s="254"/>
      <c r="BU14" s="254"/>
      <c r="BV14" s="254"/>
      <c r="BW14" s="254"/>
      <c r="BX14" s="254"/>
      <c r="BY14" s="254"/>
      <c r="BZ14" s="254"/>
      <c r="CA14" s="254"/>
      <c r="CB14" s="254"/>
      <c r="CC14" s="254"/>
      <c r="CD14" s="254"/>
      <c r="CE14" s="254"/>
      <c r="CF14" s="254"/>
      <c r="CG14" s="254"/>
      <c r="CH14" s="254"/>
      <c r="CI14" s="254"/>
      <c r="CJ14" s="254"/>
      <c r="CK14" s="254"/>
      <c r="CL14" s="254"/>
      <c r="CM14" s="254"/>
      <c r="CN14" s="254"/>
      <c r="CO14" s="254"/>
      <c r="CP14" s="254"/>
      <c r="CQ14" s="254"/>
      <c r="CR14" s="254"/>
      <c r="CS14" s="254"/>
      <c r="CT14" s="254"/>
      <c r="CU14" s="254"/>
      <c r="CV14" s="254"/>
      <c r="CW14" s="254"/>
      <c r="CX14" s="254"/>
      <c r="CY14" s="254"/>
      <c r="CZ14" s="254"/>
      <c r="DA14" s="254"/>
      <c r="DB14" s="254"/>
      <c r="DC14" s="254"/>
      <c r="DD14" s="254"/>
      <c r="DE14" s="254"/>
      <c r="DF14" s="254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  <c r="DQ14" s="254"/>
      <c r="DR14" s="254"/>
      <c r="DS14" s="254"/>
      <c r="DT14" s="254"/>
      <c r="DU14" s="254"/>
      <c r="DV14" s="254"/>
      <c r="DW14" s="254"/>
      <c r="DX14" s="254"/>
      <c r="DY14" s="254"/>
      <c r="DZ14" s="254"/>
      <c r="EA14" s="254"/>
      <c r="EB14" s="254"/>
      <c r="EC14" s="254"/>
      <c r="ED14" s="254"/>
      <c r="EE14" s="254"/>
      <c r="EF14" s="254"/>
      <c r="EG14" s="254"/>
      <c r="EH14" s="254"/>
      <c r="EI14" s="254"/>
      <c r="EJ14" s="254"/>
      <c r="EK14" s="254"/>
      <c r="EL14" s="254"/>
      <c r="EM14" s="254"/>
      <c r="EN14" s="254"/>
      <c r="EO14" s="254"/>
      <c r="EP14" s="254"/>
      <c r="EQ14" s="254"/>
      <c r="ER14" s="254"/>
      <c r="ES14" s="254"/>
      <c r="ET14" s="254"/>
      <c r="EU14" s="254"/>
      <c r="EV14" s="254"/>
      <c r="EW14" s="254"/>
      <c r="EX14" s="254"/>
      <c r="EY14" s="254"/>
      <c r="EZ14" s="254"/>
      <c r="FA14" s="254"/>
      <c r="FB14" s="254"/>
      <c r="FC14" s="254"/>
      <c r="FD14" s="254"/>
      <c r="FE14" s="254"/>
      <c r="FF14" s="254"/>
      <c r="FG14" s="254"/>
      <c r="FH14" s="254"/>
      <c r="FI14" s="254"/>
      <c r="FJ14" s="254"/>
      <c r="FK14" s="254"/>
      <c r="FL14" s="254"/>
      <c r="FM14" s="254"/>
      <c r="FN14" s="254"/>
      <c r="FO14" s="254"/>
      <c r="FP14" s="254"/>
      <c r="FQ14" s="254"/>
      <c r="FR14" s="254"/>
      <c r="FS14" s="254"/>
      <c r="FT14" s="254"/>
      <c r="FU14" s="254"/>
      <c r="FV14" s="254"/>
      <c r="FW14" s="254"/>
      <c r="FX14" s="254"/>
      <c r="FY14" s="254"/>
      <c r="FZ14" s="254"/>
      <c r="GA14" s="254"/>
      <c r="GB14" s="254"/>
      <c r="GC14" s="254"/>
      <c r="GD14" s="254"/>
      <c r="GE14" s="254"/>
      <c r="GF14" s="254"/>
      <c r="GG14" s="254"/>
      <c r="GH14" s="254"/>
      <c r="GI14" s="254"/>
      <c r="GJ14" s="254"/>
      <c r="GK14" s="254"/>
      <c r="GL14" s="254"/>
      <c r="GM14" s="254"/>
      <c r="GN14" s="254"/>
      <c r="GO14" s="254"/>
      <c r="GP14" s="254"/>
      <c r="GQ14" s="254"/>
      <c r="GR14" s="254"/>
      <c r="GS14" s="254"/>
      <c r="GT14" s="254"/>
      <c r="GU14" s="254"/>
      <c r="GV14" s="254"/>
      <c r="GW14" s="254"/>
      <c r="GX14" s="254"/>
      <c r="GY14" s="254"/>
      <c r="GZ14" s="254"/>
      <c r="HA14" s="254"/>
      <c r="HB14" s="254"/>
      <c r="HC14" s="254"/>
      <c r="HD14" s="254"/>
      <c r="HE14" s="254"/>
      <c r="HF14" s="254"/>
      <c r="HG14" s="254"/>
      <c r="HH14" s="254"/>
      <c r="HI14" s="254"/>
      <c r="HJ14" s="254"/>
      <c r="HK14" s="254"/>
      <c r="HL14" s="254"/>
      <c r="HM14" s="254"/>
      <c r="HN14" s="254"/>
      <c r="HO14" s="254"/>
      <c r="HP14" s="254"/>
      <c r="HQ14" s="254"/>
      <c r="HR14" s="254"/>
      <c r="HS14" s="254"/>
      <c r="HT14" s="254"/>
      <c r="HU14" s="254"/>
      <c r="HV14" s="254"/>
      <c r="HW14" s="254"/>
      <c r="HX14" s="254"/>
      <c r="HY14" s="254"/>
      <c r="HZ14" s="254"/>
      <c r="IA14" s="254"/>
      <c r="IB14" s="254"/>
      <c r="IC14" s="254"/>
      <c r="ID14" s="254"/>
      <c r="IE14" s="254"/>
      <c r="IF14" s="254"/>
      <c r="IG14" s="254"/>
      <c r="IH14" s="254"/>
      <c r="II14" s="254"/>
      <c r="IJ14" s="254"/>
      <c r="IK14" s="254"/>
      <c r="IL14" s="254"/>
      <c r="IM14" s="254"/>
      <c r="IN14" s="254"/>
      <c r="IO14" s="254"/>
      <c r="IP14" s="254"/>
      <c r="IQ14" s="254"/>
      <c r="IR14" s="254"/>
      <c r="IS14" s="254"/>
      <c r="IT14" s="254"/>
      <c r="IU14" s="254"/>
      <c r="IV14" s="254"/>
    </row>
    <row r="15" spans="1:256" x14ac:dyDescent="0.25">
      <c r="A15" s="248" t="s">
        <v>712</v>
      </c>
      <c r="B15" s="255" t="s">
        <v>575</v>
      </c>
      <c r="C15" s="256" t="s">
        <v>713</v>
      </c>
      <c r="D15" s="251">
        <f>+MapaII!AA82</f>
        <v>500000</v>
      </c>
      <c r="E15" s="252"/>
      <c r="F15" s="252">
        <f t="shared" si="1"/>
        <v>500000</v>
      </c>
      <c r="G15" s="257">
        <f t="shared" si="0"/>
        <v>1.0972006621377778E-3</v>
      </c>
      <c r="H15" s="254"/>
      <c r="I15" s="270"/>
      <c r="J15" s="270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254"/>
      <c r="DZ15" s="254"/>
      <c r="EA15" s="254"/>
      <c r="EB15" s="254"/>
      <c r="EC15" s="254"/>
      <c r="ED15" s="254"/>
      <c r="EE15" s="254"/>
      <c r="EF15" s="254"/>
      <c r="EG15" s="254"/>
      <c r="EH15" s="254"/>
      <c r="EI15" s="254"/>
      <c r="EJ15" s="254"/>
      <c r="EK15" s="254"/>
      <c r="EL15" s="254"/>
      <c r="EM15" s="254"/>
      <c r="EN15" s="254"/>
      <c r="EO15" s="254"/>
      <c r="EP15" s="254"/>
      <c r="EQ15" s="254"/>
      <c r="ER15" s="254"/>
      <c r="ES15" s="254"/>
      <c r="ET15" s="254"/>
      <c r="EU15" s="254"/>
      <c r="EV15" s="254"/>
      <c r="EW15" s="254"/>
      <c r="EX15" s="254"/>
      <c r="EY15" s="254"/>
      <c r="EZ15" s="254"/>
      <c r="FA15" s="254"/>
      <c r="FB15" s="254"/>
      <c r="FC15" s="254"/>
      <c r="FD15" s="254"/>
      <c r="FE15" s="254"/>
      <c r="FF15" s="254"/>
      <c r="FG15" s="254"/>
      <c r="FH15" s="254"/>
      <c r="FI15" s="254"/>
      <c r="FJ15" s="254"/>
      <c r="FK15" s="254"/>
      <c r="FL15" s="254"/>
      <c r="FM15" s="254"/>
      <c r="FN15" s="254"/>
      <c r="FO15" s="254"/>
      <c r="FP15" s="254"/>
      <c r="FQ15" s="254"/>
      <c r="FR15" s="254"/>
      <c r="FS15" s="254"/>
      <c r="FT15" s="254"/>
      <c r="FU15" s="254"/>
      <c r="FV15" s="254"/>
      <c r="FW15" s="254"/>
      <c r="FX15" s="254"/>
      <c r="FY15" s="254"/>
      <c r="FZ15" s="254"/>
      <c r="GA15" s="254"/>
      <c r="GB15" s="254"/>
      <c r="GC15" s="254"/>
      <c r="GD15" s="254"/>
      <c r="GE15" s="254"/>
      <c r="GF15" s="254"/>
      <c r="GG15" s="254"/>
      <c r="GH15" s="254"/>
      <c r="GI15" s="254"/>
      <c r="GJ15" s="254"/>
      <c r="GK15" s="254"/>
      <c r="GL15" s="254"/>
      <c r="GM15" s="254"/>
      <c r="GN15" s="254"/>
      <c r="GO15" s="254"/>
      <c r="GP15" s="254"/>
      <c r="GQ15" s="254"/>
      <c r="GR15" s="254"/>
      <c r="GS15" s="254"/>
      <c r="GT15" s="254"/>
      <c r="GU15" s="254"/>
      <c r="GV15" s="254"/>
      <c r="GW15" s="254"/>
      <c r="GX15" s="254"/>
      <c r="GY15" s="254"/>
      <c r="GZ15" s="254"/>
      <c r="HA15" s="254"/>
      <c r="HB15" s="254"/>
      <c r="HC15" s="254"/>
      <c r="HD15" s="254"/>
      <c r="HE15" s="254"/>
      <c r="HF15" s="254"/>
      <c r="HG15" s="254"/>
      <c r="HH15" s="254"/>
      <c r="HI15" s="254"/>
      <c r="HJ15" s="254"/>
      <c r="HK15" s="254"/>
      <c r="HL15" s="254"/>
      <c r="HM15" s="254"/>
      <c r="HN15" s="254"/>
      <c r="HO15" s="254"/>
      <c r="HP15" s="254"/>
      <c r="HQ15" s="254"/>
      <c r="HR15" s="254"/>
      <c r="HS15" s="254"/>
      <c r="HT15" s="254"/>
      <c r="HU15" s="254"/>
      <c r="HV15" s="254"/>
      <c r="HW15" s="254"/>
      <c r="HX15" s="254"/>
      <c r="HY15" s="254"/>
      <c r="HZ15" s="254"/>
      <c r="IA15" s="254"/>
      <c r="IB15" s="254"/>
      <c r="IC15" s="254"/>
      <c r="ID15" s="254"/>
      <c r="IE15" s="254"/>
      <c r="IF15" s="254"/>
      <c r="IG15" s="254"/>
      <c r="IH15" s="254"/>
      <c r="II15" s="254"/>
      <c r="IJ15" s="254"/>
      <c r="IK15" s="254"/>
      <c r="IL15" s="254"/>
      <c r="IM15" s="254"/>
      <c r="IN15" s="254"/>
      <c r="IO15" s="254"/>
      <c r="IP15" s="254"/>
      <c r="IQ15" s="254"/>
      <c r="IR15" s="254"/>
      <c r="IS15" s="254"/>
      <c r="IT15" s="254"/>
      <c r="IU15" s="254"/>
      <c r="IV15" s="254"/>
    </row>
    <row r="16" spans="1:256" x14ac:dyDescent="0.25">
      <c r="A16" s="248" t="s">
        <v>714</v>
      </c>
      <c r="B16" s="255" t="s">
        <v>593</v>
      </c>
      <c r="C16" s="256" t="s">
        <v>594</v>
      </c>
      <c r="D16" s="639">
        <f>+MapaII!AA92-GETPIVOTDATA("valor",Sheet1!$I$2,"rubrica","02.07.02.01")</f>
        <v>12825900</v>
      </c>
      <c r="E16" s="260"/>
      <c r="F16" s="252">
        <f t="shared" si="1"/>
        <v>12825900</v>
      </c>
      <c r="G16" s="257">
        <f t="shared" si="0"/>
        <v>2.8145171945025849E-2</v>
      </c>
      <c r="H16" s="254"/>
      <c r="I16" s="270"/>
      <c r="J16" s="270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A16" s="254"/>
      <c r="CB16" s="254"/>
      <c r="CC16" s="254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254"/>
      <c r="DD16" s="254"/>
      <c r="DE16" s="254"/>
      <c r="DF16" s="254"/>
      <c r="DG16" s="254"/>
      <c r="DH16" s="254"/>
      <c r="DI16" s="254"/>
      <c r="DJ16" s="254"/>
      <c r="DK16" s="254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254"/>
      <c r="DX16" s="254"/>
      <c r="DY16" s="254"/>
      <c r="DZ16" s="254"/>
      <c r="EA16" s="254"/>
      <c r="EB16" s="254"/>
      <c r="EC16" s="254"/>
      <c r="ED16" s="254"/>
      <c r="EE16" s="254"/>
      <c r="EF16" s="254"/>
      <c r="EG16" s="254"/>
      <c r="EH16" s="254"/>
      <c r="EI16" s="254"/>
      <c r="EJ16" s="254"/>
      <c r="EK16" s="254"/>
      <c r="EL16" s="254"/>
      <c r="EM16" s="254"/>
      <c r="EN16" s="254"/>
      <c r="EO16" s="254"/>
      <c r="EP16" s="254"/>
      <c r="EQ16" s="254"/>
      <c r="ER16" s="254"/>
      <c r="ES16" s="254"/>
      <c r="ET16" s="254"/>
      <c r="EU16" s="254"/>
      <c r="EV16" s="254"/>
      <c r="EW16" s="254"/>
      <c r="EX16" s="254"/>
      <c r="EY16" s="254"/>
      <c r="EZ16" s="254"/>
      <c r="FA16" s="254"/>
      <c r="FB16" s="254"/>
      <c r="FC16" s="254"/>
      <c r="FD16" s="254"/>
      <c r="FE16" s="254"/>
      <c r="FF16" s="254"/>
      <c r="FG16" s="254"/>
      <c r="FH16" s="254"/>
      <c r="FI16" s="254"/>
      <c r="FJ16" s="254"/>
      <c r="FK16" s="254"/>
      <c r="FL16" s="254"/>
      <c r="FM16" s="254"/>
      <c r="FN16" s="254"/>
      <c r="FO16" s="254"/>
      <c r="FP16" s="254"/>
      <c r="FQ16" s="254"/>
      <c r="FR16" s="254"/>
      <c r="FS16" s="254"/>
      <c r="FT16" s="254"/>
      <c r="FU16" s="254"/>
      <c r="FV16" s="254"/>
      <c r="FW16" s="254"/>
      <c r="FX16" s="254"/>
      <c r="FY16" s="254"/>
      <c r="FZ16" s="254"/>
      <c r="GA16" s="254"/>
      <c r="GB16" s="254"/>
      <c r="GC16" s="254"/>
      <c r="GD16" s="254"/>
      <c r="GE16" s="254"/>
      <c r="GF16" s="254"/>
      <c r="GG16" s="254"/>
      <c r="GH16" s="254"/>
      <c r="GI16" s="254"/>
      <c r="GJ16" s="254"/>
      <c r="GK16" s="254"/>
      <c r="GL16" s="254"/>
      <c r="GM16" s="254"/>
      <c r="GN16" s="254"/>
      <c r="GO16" s="254"/>
      <c r="GP16" s="254"/>
      <c r="GQ16" s="254"/>
      <c r="GR16" s="254"/>
      <c r="GS16" s="254"/>
      <c r="GT16" s="254"/>
      <c r="GU16" s="254"/>
      <c r="GV16" s="254"/>
      <c r="GW16" s="254"/>
      <c r="GX16" s="254"/>
      <c r="GY16" s="254"/>
      <c r="GZ16" s="254"/>
      <c r="HA16" s="254"/>
      <c r="HB16" s="254"/>
      <c r="HC16" s="254"/>
      <c r="HD16" s="254"/>
      <c r="HE16" s="254"/>
      <c r="HF16" s="254"/>
      <c r="HG16" s="254"/>
      <c r="HH16" s="254"/>
      <c r="HI16" s="254"/>
      <c r="HJ16" s="254"/>
      <c r="HK16" s="254"/>
      <c r="HL16" s="254"/>
      <c r="HM16" s="254"/>
      <c r="HN16" s="254"/>
      <c r="HO16" s="254"/>
      <c r="HP16" s="254"/>
      <c r="HQ16" s="254"/>
      <c r="HR16" s="254"/>
      <c r="HS16" s="254"/>
      <c r="HT16" s="254"/>
      <c r="HU16" s="254"/>
      <c r="HV16" s="254"/>
      <c r="HW16" s="254"/>
      <c r="HX16" s="254"/>
      <c r="HY16" s="254"/>
      <c r="HZ16" s="254"/>
      <c r="IA16" s="254"/>
      <c r="IB16" s="254"/>
      <c r="IC16" s="254"/>
      <c r="ID16" s="254"/>
      <c r="IE16" s="254"/>
      <c r="IF16" s="254"/>
      <c r="IG16" s="254"/>
      <c r="IH16" s="254"/>
      <c r="II16" s="254"/>
      <c r="IJ16" s="254"/>
      <c r="IK16" s="254"/>
      <c r="IL16" s="254"/>
      <c r="IM16" s="254"/>
      <c r="IN16" s="254"/>
      <c r="IO16" s="254"/>
      <c r="IP16" s="254"/>
      <c r="IQ16" s="254"/>
      <c r="IR16" s="254"/>
      <c r="IS16" s="254"/>
      <c r="IT16" s="254"/>
      <c r="IU16" s="254"/>
      <c r="IV16" s="254"/>
    </row>
    <row r="17" spans="1:256" x14ac:dyDescent="0.25">
      <c r="A17" s="248" t="s">
        <v>715</v>
      </c>
      <c r="B17" s="255" t="s">
        <v>716</v>
      </c>
      <c r="C17" s="256" t="s">
        <v>717</v>
      </c>
      <c r="D17" s="251">
        <f>+MapaII!AA101-GETPIVOTDATA("valor",Sheet1!$I$2,"rubrica","02.08.02")</f>
        <v>4500000</v>
      </c>
      <c r="E17" s="252"/>
      <c r="F17" s="252">
        <f t="shared" si="1"/>
        <v>4500000</v>
      </c>
      <c r="G17" s="257">
        <f t="shared" si="0"/>
        <v>9.8748059592400003E-3</v>
      </c>
      <c r="H17" s="254"/>
      <c r="I17" s="270"/>
      <c r="J17" s="270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  <c r="EF17" s="254"/>
      <c r="EG17" s="254"/>
      <c r="EH17" s="254"/>
      <c r="EI17" s="254"/>
      <c r="EJ17" s="254"/>
      <c r="EK17" s="254"/>
      <c r="EL17" s="254"/>
      <c r="EM17" s="254"/>
      <c r="EN17" s="254"/>
      <c r="EO17" s="254"/>
      <c r="EP17" s="254"/>
      <c r="EQ17" s="254"/>
      <c r="ER17" s="254"/>
      <c r="ES17" s="254"/>
      <c r="ET17" s="254"/>
      <c r="EU17" s="254"/>
      <c r="EV17" s="254"/>
      <c r="EW17" s="254"/>
      <c r="EX17" s="254"/>
      <c r="EY17" s="254"/>
      <c r="EZ17" s="254"/>
      <c r="FA17" s="254"/>
      <c r="FB17" s="254"/>
      <c r="FC17" s="254"/>
      <c r="FD17" s="254"/>
      <c r="FE17" s="254"/>
      <c r="FF17" s="254"/>
      <c r="FG17" s="254"/>
      <c r="FH17" s="254"/>
      <c r="FI17" s="254"/>
      <c r="FJ17" s="254"/>
      <c r="FK17" s="254"/>
      <c r="FL17" s="254"/>
      <c r="FM17" s="254"/>
      <c r="FN17" s="254"/>
      <c r="FO17" s="254"/>
      <c r="FP17" s="254"/>
      <c r="FQ17" s="254"/>
      <c r="FR17" s="254"/>
      <c r="FS17" s="254"/>
      <c r="FT17" s="254"/>
      <c r="FU17" s="254"/>
      <c r="FV17" s="254"/>
      <c r="FW17" s="254"/>
      <c r="FX17" s="254"/>
      <c r="FY17" s="254"/>
      <c r="FZ17" s="254"/>
      <c r="GA17" s="254"/>
      <c r="GB17" s="254"/>
      <c r="GC17" s="254"/>
      <c r="GD17" s="254"/>
      <c r="GE17" s="254"/>
      <c r="GF17" s="254"/>
      <c r="GG17" s="254"/>
      <c r="GH17" s="254"/>
      <c r="GI17" s="254"/>
      <c r="GJ17" s="254"/>
      <c r="GK17" s="254"/>
      <c r="GL17" s="254"/>
      <c r="GM17" s="254"/>
      <c r="GN17" s="254"/>
      <c r="GO17" s="254"/>
      <c r="GP17" s="254"/>
      <c r="GQ17" s="254"/>
      <c r="GR17" s="254"/>
      <c r="GS17" s="254"/>
      <c r="GT17" s="254"/>
      <c r="GU17" s="254"/>
      <c r="GV17" s="254"/>
      <c r="GW17" s="254"/>
      <c r="GX17" s="254"/>
      <c r="GY17" s="254"/>
      <c r="GZ17" s="254"/>
      <c r="HA17" s="254"/>
      <c r="HB17" s="254"/>
      <c r="HC17" s="254"/>
      <c r="HD17" s="254"/>
      <c r="HE17" s="254"/>
      <c r="HF17" s="254"/>
      <c r="HG17" s="254"/>
      <c r="HH17" s="254"/>
      <c r="HI17" s="254"/>
      <c r="HJ17" s="254"/>
      <c r="HK17" s="254"/>
      <c r="HL17" s="254"/>
      <c r="HM17" s="254"/>
      <c r="HN17" s="254"/>
      <c r="HO17" s="254"/>
      <c r="HP17" s="254"/>
      <c r="HQ17" s="254"/>
      <c r="HR17" s="254"/>
      <c r="HS17" s="254"/>
      <c r="HT17" s="254"/>
      <c r="HU17" s="254"/>
      <c r="HV17" s="254"/>
      <c r="HW17" s="254"/>
      <c r="HX17" s="254"/>
      <c r="HY17" s="254"/>
      <c r="HZ17" s="254"/>
      <c r="IA17" s="254"/>
      <c r="IB17" s="254"/>
      <c r="IC17" s="254"/>
      <c r="ID17" s="254"/>
      <c r="IE17" s="254"/>
      <c r="IF17" s="254"/>
      <c r="IG17" s="254"/>
      <c r="IH17" s="254"/>
      <c r="II17" s="254"/>
      <c r="IJ17" s="254"/>
      <c r="IK17" s="254"/>
      <c r="IL17" s="254"/>
      <c r="IM17" s="254"/>
      <c r="IN17" s="254"/>
      <c r="IO17" s="254"/>
      <c r="IP17" s="254"/>
      <c r="IQ17" s="254"/>
      <c r="IR17" s="254"/>
      <c r="IS17" s="254"/>
      <c r="IT17" s="254"/>
      <c r="IU17" s="254"/>
      <c r="IV17" s="254"/>
    </row>
    <row r="18" spans="1:256" x14ac:dyDescent="0.25">
      <c r="A18" s="248" t="s">
        <v>715</v>
      </c>
      <c r="B18" s="255" t="s">
        <v>718</v>
      </c>
      <c r="C18" s="256" t="s">
        <v>719</v>
      </c>
      <c r="D18" s="251"/>
      <c r="E18" s="252"/>
      <c r="F18" s="252">
        <f>D18+E18</f>
        <v>0</v>
      </c>
      <c r="G18" s="257">
        <f t="shared" si="0"/>
        <v>0</v>
      </c>
      <c r="H18" s="254"/>
      <c r="I18" s="270"/>
      <c r="J18" s="270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  <c r="EF18" s="254"/>
      <c r="EG18" s="254"/>
      <c r="EH18" s="254"/>
      <c r="EI18" s="254"/>
      <c r="EJ18" s="254"/>
      <c r="EK18" s="254"/>
      <c r="EL18" s="254"/>
      <c r="EM18" s="254"/>
      <c r="EN18" s="254"/>
      <c r="EO18" s="254"/>
      <c r="EP18" s="254"/>
      <c r="EQ18" s="254"/>
      <c r="ER18" s="254"/>
      <c r="ES18" s="254"/>
      <c r="ET18" s="254"/>
      <c r="EU18" s="254"/>
      <c r="EV18" s="254"/>
      <c r="EW18" s="254"/>
      <c r="EX18" s="254"/>
      <c r="EY18" s="254"/>
      <c r="EZ18" s="254"/>
      <c r="FA18" s="254"/>
      <c r="FB18" s="254"/>
      <c r="FC18" s="254"/>
      <c r="FD18" s="254"/>
      <c r="FE18" s="254"/>
      <c r="FF18" s="254"/>
      <c r="FG18" s="254"/>
      <c r="FH18" s="254"/>
      <c r="FI18" s="254"/>
      <c r="FJ18" s="254"/>
      <c r="FK18" s="254"/>
      <c r="FL18" s="254"/>
      <c r="FM18" s="254"/>
      <c r="FN18" s="254"/>
      <c r="FO18" s="254"/>
      <c r="FP18" s="254"/>
      <c r="FQ18" s="254"/>
      <c r="FR18" s="254"/>
      <c r="FS18" s="254"/>
      <c r="FT18" s="254"/>
      <c r="FU18" s="254"/>
      <c r="FV18" s="254"/>
      <c r="FW18" s="254"/>
      <c r="FX18" s="254"/>
      <c r="FY18" s="254"/>
      <c r="FZ18" s="254"/>
      <c r="GA18" s="254"/>
      <c r="GB18" s="254"/>
      <c r="GC18" s="254"/>
      <c r="GD18" s="254"/>
      <c r="GE18" s="254"/>
      <c r="GF18" s="254"/>
      <c r="GG18" s="254"/>
      <c r="GH18" s="254"/>
      <c r="GI18" s="254"/>
      <c r="GJ18" s="254"/>
      <c r="GK18" s="254"/>
      <c r="GL18" s="254"/>
      <c r="GM18" s="254"/>
      <c r="GN18" s="254"/>
      <c r="GO18" s="254"/>
      <c r="GP18" s="254"/>
      <c r="GQ18" s="254"/>
      <c r="GR18" s="254"/>
      <c r="GS18" s="254"/>
      <c r="GT18" s="254"/>
      <c r="GU18" s="254"/>
      <c r="GV18" s="254"/>
      <c r="GW18" s="254"/>
      <c r="GX18" s="254"/>
      <c r="GY18" s="254"/>
      <c r="GZ18" s="254"/>
      <c r="HA18" s="254"/>
      <c r="HB18" s="254"/>
      <c r="HC18" s="254"/>
      <c r="HD18" s="254"/>
      <c r="HE18" s="254"/>
      <c r="HF18" s="254"/>
      <c r="HG18" s="254"/>
      <c r="HH18" s="254"/>
      <c r="HI18" s="254"/>
      <c r="HJ18" s="254"/>
      <c r="HK18" s="254"/>
      <c r="HL18" s="254"/>
      <c r="HM18" s="254"/>
      <c r="HN18" s="254"/>
      <c r="HO18" s="254"/>
      <c r="HP18" s="254"/>
      <c r="HQ18" s="254"/>
      <c r="HR18" s="254"/>
      <c r="HS18" s="254"/>
      <c r="HT18" s="254"/>
      <c r="HU18" s="254"/>
      <c r="HV18" s="254"/>
      <c r="HW18" s="254"/>
      <c r="HX18" s="254"/>
      <c r="HY18" s="254"/>
      <c r="HZ18" s="254"/>
      <c r="IA18" s="254"/>
      <c r="IB18" s="254"/>
      <c r="IC18" s="254"/>
      <c r="ID18" s="254"/>
      <c r="IE18" s="254"/>
      <c r="IF18" s="254"/>
      <c r="IG18" s="254"/>
      <c r="IH18" s="254"/>
      <c r="II18" s="254"/>
      <c r="IJ18" s="254"/>
      <c r="IK18" s="254"/>
      <c r="IL18" s="254"/>
      <c r="IM18" s="254"/>
      <c r="IN18" s="254"/>
      <c r="IO18" s="254"/>
      <c r="IP18" s="254"/>
      <c r="IQ18" s="254"/>
      <c r="IR18" s="254"/>
      <c r="IS18" s="254"/>
      <c r="IT18" s="254"/>
      <c r="IU18" s="254"/>
      <c r="IV18" s="254"/>
    </row>
    <row r="19" spans="1:256" x14ac:dyDescent="0.2">
      <c r="A19" s="241" t="s">
        <v>720</v>
      </c>
      <c r="B19" s="242"/>
      <c r="C19" s="243" t="s">
        <v>721</v>
      </c>
      <c r="D19" s="261">
        <f>D21</f>
        <v>0</v>
      </c>
      <c r="E19" s="244">
        <f>+SUM(E20:E21)</f>
        <v>1600000</v>
      </c>
      <c r="F19" s="244">
        <f>D19+E19</f>
        <v>1600000</v>
      </c>
      <c r="G19" s="245">
        <f t="shared" si="0"/>
        <v>3.5110421188408892E-3</v>
      </c>
      <c r="H19" s="262"/>
      <c r="I19" s="270"/>
      <c r="J19" s="270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262"/>
      <c r="BT19" s="262"/>
      <c r="BU19" s="262"/>
      <c r="BV19" s="262"/>
      <c r="BW19" s="262"/>
      <c r="BX19" s="262"/>
      <c r="BY19" s="262"/>
      <c r="BZ19" s="262"/>
      <c r="CA19" s="262"/>
      <c r="CB19" s="262"/>
      <c r="CC19" s="262"/>
      <c r="CD19" s="262"/>
      <c r="CE19" s="262"/>
      <c r="CF19" s="262"/>
      <c r="CG19" s="262"/>
      <c r="CH19" s="262"/>
      <c r="CI19" s="262"/>
      <c r="CJ19" s="262"/>
      <c r="CK19" s="262"/>
      <c r="CL19" s="262"/>
      <c r="CM19" s="262"/>
      <c r="CN19" s="262"/>
      <c r="CO19" s="262"/>
      <c r="CP19" s="262"/>
      <c r="CQ19" s="262"/>
      <c r="CR19" s="262"/>
      <c r="CS19" s="262"/>
      <c r="CT19" s="262"/>
      <c r="CU19" s="262"/>
      <c r="CV19" s="262"/>
      <c r="CW19" s="262"/>
      <c r="CX19" s="262"/>
      <c r="CY19" s="262"/>
      <c r="CZ19" s="262"/>
      <c r="DA19" s="262"/>
      <c r="DB19" s="262"/>
      <c r="DC19" s="262"/>
      <c r="DD19" s="262"/>
      <c r="DE19" s="262"/>
      <c r="DF19" s="262"/>
      <c r="DG19" s="262"/>
      <c r="DH19" s="262"/>
      <c r="DI19" s="262"/>
      <c r="DJ19" s="262"/>
      <c r="DK19" s="262"/>
      <c r="DL19" s="262"/>
      <c r="DM19" s="262"/>
      <c r="DN19" s="262"/>
      <c r="DO19" s="262"/>
      <c r="DP19" s="262"/>
      <c r="DQ19" s="262"/>
      <c r="DR19" s="262"/>
      <c r="DS19" s="262"/>
      <c r="DT19" s="262"/>
      <c r="DU19" s="262"/>
      <c r="DV19" s="262"/>
      <c r="DW19" s="262"/>
      <c r="DX19" s="262"/>
      <c r="DY19" s="262"/>
      <c r="DZ19" s="262"/>
      <c r="EA19" s="262"/>
      <c r="EB19" s="262"/>
      <c r="EC19" s="262"/>
      <c r="ED19" s="262"/>
      <c r="EE19" s="262"/>
      <c r="EF19" s="262"/>
      <c r="EG19" s="262"/>
      <c r="EH19" s="262"/>
      <c r="EI19" s="262"/>
      <c r="EJ19" s="262"/>
      <c r="EK19" s="262"/>
      <c r="EL19" s="262"/>
      <c r="EM19" s="262"/>
      <c r="EN19" s="262"/>
      <c r="EO19" s="262"/>
      <c r="EP19" s="262"/>
      <c r="EQ19" s="262"/>
      <c r="ER19" s="262"/>
      <c r="ES19" s="262"/>
      <c r="ET19" s="262"/>
      <c r="EU19" s="262"/>
      <c r="EV19" s="262"/>
      <c r="EW19" s="262"/>
      <c r="EX19" s="262"/>
      <c r="EY19" s="262"/>
      <c r="EZ19" s="262"/>
      <c r="FA19" s="262"/>
      <c r="FB19" s="262"/>
      <c r="FC19" s="262"/>
      <c r="FD19" s="262"/>
      <c r="FE19" s="262"/>
      <c r="FF19" s="262"/>
      <c r="FG19" s="262"/>
      <c r="FH19" s="262"/>
      <c r="FI19" s="262"/>
      <c r="FJ19" s="262"/>
      <c r="FK19" s="262"/>
      <c r="FL19" s="262"/>
      <c r="FM19" s="262"/>
      <c r="FN19" s="262"/>
      <c r="FO19" s="262"/>
      <c r="FP19" s="262"/>
      <c r="FQ19" s="262"/>
      <c r="FR19" s="262"/>
      <c r="FS19" s="262"/>
      <c r="FT19" s="262"/>
      <c r="FU19" s="262"/>
      <c r="FV19" s="262"/>
      <c r="FW19" s="262"/>
      <c r="FX19" s="262"/>
      <c r="FY19" s="262"/>
      <c r="FZ19" s="262"/>
      <c r="GA19" s="262"/>
      <c r="GB19" s="262"/>
      <c r="GC19" s="262"/>
      <c r="GD19" s="262"/>
      <c r="GE19" s="262"/>
      <c r="GF19" s="262"/>
      <c r="GG19" s="262"/>
      <c r="GH19" s="262"/>
      <c r="GI19" s="262"/>
      <c r="GJ19" s="262"/>
      <c r="GK19" s="262"/>
      <c r="GL19" s="262"/>
      <c r="GM19" s="262"/>
      <c r="GN19" s="262"/>
      <c r="GO19" s="262"/>
      <c r="GP19" s="262"/>
      <c r="GQ19" s="262"/>
      <c r="GR19" s="262"/>
      <c r="GS19" s="262"/>
      <c r="GT19" s="262"/>
      <c r="GU19" s="262"/>
      <c r="GV19" s="262"/>
      <c r="GW19" s="262"/>
      <c r="GX19" s="262"/>
      <c r="GY19" s="262"/>
      <c r="GZ19" s="262"/>
      <c r="HA19" s="262"/>
      <c r="HB19" s="262"/>
      <c r="HC19" s="262"/>
      <c r="HD19" s="262"/>
      <c r="HE19" s="262"/>
      <c r="HF19" s="262"/>
      <c r="HG19" s="262"/>
      <c r="HH19" s="262"/>
      <c r="HI19" s="262"/>
      <c r="HJ19" s="262"/>
      <c r="HK19" s="262"/>
      <c r="HL19" s="262"/>
      <c r="HM19" s="262"/>
      <c r="HN19" s="262"/>
      <c r="HO19" s="262"/>
      <c r="HP19" s="262"/>
      <c r="HQ19" s="262"/>
      <c r="HR19" s="262"/>
      <c r="HS19" s="262"/>
      <c r="HT19" s="262"/>
      <c r="HU19" s="262"/>
      <c r="HV19" s="262"/>
      <c r="HW19" s="262"/>
      <c r="HX19" s="262"/>
      <c r="HY19" s="262"/>
      <c r="HZ19" s="262"/>
      <c r="IA19" s="262"/>
      <c r="IB19" s="262"/>
      <c r="IC19" s="262"/>
      <c r="ID19" s="262"/>
      <c r="IE19" s="262"/>
      <c r="IF19" s="262"/>
      <c r="IG19" s="262"/>
      <c r="IH19" s="262"/>
      <c r="II19" s="262"/>
      <c r="IJ19" s="262"/>
      <c r="IK19" s="262"/>
      <c r="IL19" s="262"/>
      <c r="IM19" s="262"/>
      <c r="IN19" s="262"/>
      <c r="IO19" s="262"/>
      <c r="IP19" s="262"/>
      <c r="IQ19" s="262"/>
      <c r="IR19" s="262"/>
      <c r="IS19" s="262"/>
      <c r="IT19" s="262"/>
      <c r="IU19" s="262"/>
      <c r="IV19" s="262"/>
    </row>
    <row r="20" spans="1:256" x14ac:dyDescent="0.25">
      <c r="A20" s="263" t="s">
        <v>722</v>
      </c>
      <c r="B20" s="264" t="s">
        <v>487</v>
      </c>
      <c r="C20" s="265" t="s">
        <v>907</v>
      </c>
      <c r="D20" s="259">
        <v>0</v>
      </c>
      <c r="E20" s="260">
        <f>+INDEX(Sheet1!A:D,MATCH(MapaIII!C20,Sheet1!A:A,0),2)</f>
        <v>1500000</v>
      </c>
      <c r="F20" s="260">
        <f>+D20+E20</f>
        <v>1500000</v>
      </c>
      <c r="G20" s="266">
        <f t="shared" si="0"/>
        <v>3.2916019864133333E-3</v>
      </c>
      <c r="H20" s="107">
        <v>700000</v>
      </c>
      <c r="I20" s="270"/>
      <c r="J20" s="270"/>
      <c r="K20" s="267"/>
      <c r="L20" s="267" t="e">
        <v>#N/A</v>
      </c>
      <c r="M20" s="267"/>
      <c r="N20" s="268">
        <f t="shared" ref="N20:N72" si="2">+H20-E20</f>
        <v>-800000</v>
      </c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  <c r="BX20" s="267"/>
      <c r="BY20" s="267"/>
      <c r="BZ20" s="267"/>
      <c r="CA20" s="267"/>
      <c r="CB20" s="267"/>
      <c r="CC20" s="267"/>
      <c r="CD20" s="267"/>
      <c r="CE20" s="267"/>
      <c r="CF20" s="267"/>
      <c r="CG20" s="267"/>
      <c r="CH20" s="267"/>
      <c r="CI20" s="267"/>
      <c r="CJ20" s="267"/>
      <c r="CK20" s="267"/>
      <c r="CL20" s="267"/>
      <c r="CM20" s="267"/>
      <c r="CN20" s="267"/>
      <c r="CO20" s="267"/>
      <c r="CP20" s="267"/>
      <c r="CQ20" s="267"/>
      <c r="CR20" s="267"/>
      <c r="CS20" s="267"/>
      <c r="CT20" s="267"/>
      <c r="CU20" s="267"/>
      <c r="CV20" s="267"/>
      <c r="CW20" s="267"/>
      <c r="CX20" s="267"/>
      <c r="CY20" s="267"/>
      <c r="CZ20" s="267"/>
      <c r="DA20" s="267"/>
      <c r="DB20" s="267"/>
      <c r="DC20" s="267"/>
      <c r="DD20" s="267"/>
      <c r="DE20" s="267"/>
      <c r="DF20" s="267"/>
      <c r="DG20" s="267"/>
      <c r="DH20" s="267"/>
      <c r="DI20" s="267"/>
      <c r="DJ20" s="267"/>
      <c r="DK20" s="267"/>
      <c r="DL20" s="267"/>
      <c r="DM20" s="267"/>
      <c r="DN20" s="267"/>
      <c r="DO20" s="267"/>
      <c r="DP20" s="267"/>
      <c r="DQ20" s="267"/>
      <c r="DR20" s="267"/>
      <c r="DS20" s="267"/>
      <c r="DT20" s="267"/>
      <c r="DU20" s="267"/>
      <c r="DV20" s="267"/>
      <c r="DW20" s="267"/>
      <c r="DX20" s="267"/>
      <c r="DY20" s="267"/>
      <c r="DZ20" s="267"/>
      <c r="EA20" s="267"/>
      <c r="EB20" s="267"/>
      <c r="EC20" s="267"/>
      <c r="ED20" s="267"/>
      <c r="EE20" s="267"/>
      <c r="EF20" s="267"/>
      <c r="EG20" s="267"/>
      <c r="EH20" s="267"/>
      <c r="EI20" s="267"/>
      <c r="EJ20" s="267"/>
      <c r="EK20" s="267"/>
      <c r="EL20" s="267"/>
      <c r="EM20" s="267"/>
      <c r="EN20" s="267"/>
      <c r="EO20" s="267"/>
      <c r="EP20" s="267"/>
      <c r="EQ20" s="267"/>
      <c r="ER20" s="267"/>
      <c r="ES20" s="267"/>
      <c r="ET20" s="267"/>
      <c r="EU20" s="267"/>
      <c r="EV20" s="267"/>
      <c r="EW20" s="267"/>
      <c r="EX20" s="267"/>
      <c r="EY20" s="267"/>
      <c r="EZ20" s="267"/>
      <c r="FA20" s="267"/>
      <c r="FB20" s="267"/>
      <c r="FC20" s="267"/>
      <c r="FD20" s="267"/>
      <c r="FE20" s="267"/>
      <c r="FF20" s="267"/>
      <c r="FG20" s="267"/>
      <c r="FH20" s="267"/>
      <c r="FI20" s="267"/>
      <c r="FJ20" s="267"/>
      <c r="FK20" s="267"/>
      <c r="FL20" s="267"/>
      <c r="FM20" s="267"/>
      <c r="FN20" s="267"/>
      <c r="FO20" s="267"/>
      <c r="FP20" s="267"/>
      <c r="FQ20" s="267"/>
      <c r="FR20" s="267"/>
      <c r="FS20" s="267"/>
      <c r="FT20" s="267"/>
      <c r="FU20" s="267"/>
      <c r="FV20" s="267"/>
      <c r="FW20" s="267"/>
      <c r="FX20" s="267"/>
      <c r="FY20" s="267"/>
      <c r="FZ20" s="267"/>
      <c r="GA20" s="267"/>
      <c r="GB20" s="267"/>
      <c r="GC20" s="267"/>
      <c r="GD20" s="267"/>
      <c r="GE20" s="267"/>
      <c r="GF20" s="267"/>
      <c r="GG20" s="267"/>
      <c r="GH20" s="267"/>
      <c r="GI20" s="267"/>
      <c r="GJ20" s="267"/>
      <c r="GK20" s="267"/>
      <c r="GL20" s="267"/>
      <c r="GM20" s="267"/>
      <c r="GN20" s="267"/>
      <c r="GO20" s="267"/>
      <c r="GP20" s="267"/>
      <c r="GQ20" s="267"/>
      <c r="GR20" s="267"/>
      <c r="GS20" s="267"/>
      <c r="GT20" s="267"/>
      <c r="GU20" s="267"/>
      <c r="GV20" s="267"/>
      <c r="GW20" s="267"/>
      <c r="GX20" s="267"/>
      <c r="GY20" s="267"/>
      <c r="GZ20" s="267"/>
      <c r="HA20" s="267"/>
      <c r="HB20" s="267"/>
      <c r="HC20" s="267"/>
      <c r="HD20" s="267"/>
      <c r="HE20" s="267"/>
      <c r="HF20" s="267"/>
      <c r="HG20" s="267"/>
      <c r="HH20" s="267"/>
      <c r="HI20" s="267"/>
      <c r="HJ20" s="267"/>
      <c r="HK20" s="267"/>
      <c r="HL20" s="267"/>
      <c r="HM20" s="267"/>
      <c r="HN20" s="267"/>
      <c r="HO20" s="267"/>
      <c r="HP20" s="267"/>
      <c r="HQ20" s="267"/>
      <c r="HR20" s="267"/>
      <c r="HS20" s="267"/>
      <c r="HT20" s="267"/>
      <c r="HU20" s="267"/>
      <c r="HV20" s="267"/>
      <c r="HW20" s="267"/>
      <c r="HX20" s="267"/>
      <c r="HY20" s="267"/>
      <c r="HZ20" s="267"/>
      <c r="IA20" s="267"/>
      <c r="IB20" s="267"/>
      <c r="IC20" s="267"/>
      <c r="ID20" s="267"/>
      <c r="IE20" s="267"/>
      <c r="IF20" s="267"/>
      <c r="IG20" s="267"/>
      <c r="IH20" s="267"/>
      <c r="II20" s="267"/>
      <c r="IJ20" s="267"/>
      <c r="IK20" s="267"/>
      <c r="IL20" s="267"/>
      <c r="IM20" s="267"/>
      <c r="IN20" s="267"/>
      <c r="IO20" s="267"/>
      <c r="IP20" s="267"/>
      <c r="IQ20" s="267"/>
      <c r="IR20" s="267"/>
      <c r="IS20" s="267"/>
      <c r="IT20" s="267"/>
      <c r="IU20" s="267"/>
      <c r="IV20" s="267"/>
    </row>
    <row r="21" spans="1:256" x14ac:dyDescent="0.25">
      <c r="A21" s="263" t="s">
        <v>722</v>
      </c>
      <c r="B21" s="264" t="s">
        <v>434</v>
      </c>
      <c r="C21" s="269" t="s">
        <v>723</v>
      </c>
      <c r="D21" s="259">
        <v>0</v>
      </c>
      <c r="E21" s="260">
        <f>+INDEX(Sheet1!A:D,MATCH(MapaIII!C21,Sheet1!A:A,0),2)</f>
        <v>100000</v>
      </c>
      <c r="F21" s="260">
        <f>D21+E21</f>
        <v>100000</v>
      </c>
      <c r="G21" s="266">
        <f t="shared" si="0"/>
        <v>2.1944013242755557E-4</v>
      </c>
      <c r="H21" s="107">
        <v>100000</v>
      </c>
      <c r="I21" s="246"/>
      <c r="J21" s="246"/>
      <c r="K21" s="270"/>
      <c r="L21" s="267">
        <v>3</v>
      </c>
      <c r="M21" s="270"/>
      <c r="N21" s="268">
        <f t="shared" si="2"/>
        <v>0</v>
      </c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pans="1:256" x14ac:dyDescent="0.2">
      <c r="A22" s="241" t="s">
        <v>724</v>
      </c>
      <c r="B22" s="242"/>
      <c r="C22" s="243" t="s">
        <v>725</v>
      </c>
      <c r="D22" s="261">
        <f>+SUM(D23:D31)</f>
        <v>0</v>
      </c>
      <c r="E22" s="244">
        <f>+SUM(E23:E31)</f>
        <v>15900000</v>
      </c>
      <c r="F22" s="244">
        <f>D22+E22</f>
        <v>15900000</v>
      </c>
      <c r="G22" s="245">
        <f t="shared" si="0"/>
        <v>3.4890981055981332E-2</v>
      </c>
      <c r="H22" s="267">
        <v>0</v>
      </c>
      <c r="I22" s="267"/>
      <c r="J22" s="267"/>
      <c r="K22" s="246"/>
      <c r="L22" s="267" t="e">
        <v>#N/A</v>
      </c>
      <c r="M22" s="246"/>
      <c r="N22" s="268">
        <f t="shared" si="2"/>
        <v>-15900000</v>
      </c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  <c r="FG22" s="246"/>
      <c r="FH22" s="246"/>
      <c r="FI22" s="246"/>
      <c r="FJ22" s="246"/>
      <c r="FK22" s="246"/>
      <c r="FL22" s="246"/>
      <c r="FM22" s="246"/>
      <c r="FN22" s="246"/>
      <c r="FO22" s="246"/>
      <c r="FP22" s="246"/>
      <c r="FQ22" s="246"/>
      <c r="FR22" s="246"/>
      <c r="FS22" s="246"/>
      <c r="FT22" s="246"/>
      <c r="FU22" s="246"/>
      <c r="FV22" s="246"/>
      <c r="FW22" s="246"/>
      <c r="FX22" s="246"/>
      <c r="FY22" s="246"/>
      <c r="FZ22" s="246"/>
      <c r="GA22" s="246"/>
      <c r="GB22" s="246"/>
      <c r="GC22" s="246"/>
      <c r="GD22" s="246"/>
      <c r="GE22" s="246"/>
      <c r="GF22" s="246"/>
      <c r="GG22" s="246"/>
      <c r="GH22" s="246"/>
      <c r="GI22" s="246"/>
      <c r="GJ22" s="246"/>
      <c r="GK22" s="246"/>
      <c r="GL22" s="246"/>
      <c r="GM22" s="246"/>
      <c r="GN22" s="246"/>
      <c r="GO22" s="246"/>
      <c r="GP22" s="246"/>
      <c r="GQ22" s="246"/>
      <c r="GR22" s="246"/>
      <c r="GS22" s="246"/>
      <c r="GT22" s="246"/>
      <c r="GU22" s="246"/>
      <c r="GV22" s="246"/>
      <c r="GW22" s="246"/>
      <c r="GX22" s="246"/>
      <c r="GY22" s="246"/>
      <c r="GZ22" s="246"/>
      <c r="HA22" s="246"/>
      <c r="HB22" s="246"/>
      <c r="HC22" s="246"/>
      <c r="HD22" s="246"/>
      <c r="HE22" s="246"/>
      <c r="HF22" s="246"/>
      <c r="HG22" s="246"/>
      <c r="HH22" s="246"/>
      <c r="HI22" s="246"/>
      <c r="HJ22" s="246"/>
      <c r="HK22" s="246"/>
      <c r="HL22" s="246"/>
      <c r="HM22" s="246"/>
      <c r="HN22" s="246"/>
      <c r="HO22" s="246"/>
      <c r="HP22" s="246"/>
      <c r="HQ22" s="246"/>
      <c r="HR22" s="246"/>
      <c r="HS22" s="246"/>
      <c r="HT22" s="246"/>
      <c r="HU22" s="246"/>
      <c r="HV22" s="246"/>
      <c r="HW22" s="246"/>
      <c r="HX22" s="246"/>
      <c r="HY22" s="246"/>
      <c r="HZ22" s="246"/>
      <c r="IA22" s="246"/>
      <c r="IB22" s="246"/>
      <c r="IC22" s="246"/>
      <c r="ID22" s="246"/>
      <c r="IE22" s="246"/>
      <c r="IF22" s="246"/>
      <c r="IG22" s="246"/>
      <c r="IH22" s="246"/>
      <c r="II22" s="246"/>
      <c r="IJ22" s="246"/>
      <c r="IK22" s="246"/>
      <c r="IL22" s="246"/>
      <c r="IM22" s="246"/>
      <c r="IN22" s="246"/>
      <c r="IO22" s="246"/>
      <c r="IP22" s="246"/>
      <c r="IQ22" s="246"/>
      <c r="IR22" s="246"/>
      <c r="IS22" s="246"/>
      <c r="IT22" s="246"/>
      <c r="IU22" s="246"/>
      <c r="IV22" s="246"/>
    </row>
    <row r="23" spans="1:256" x14ac:dyDescent="0.25">
      <c r="A23" s="263" t="s">
        <v>726</v>
      </c>
      <c r="B23" s="271" t="s">
        <v>451</v>
      </c>
      <c r="C23" s="263" t="s">
        <v>727</v>
      </c>
      <c r="D23" s="259">
        <v>0</v>
      </c>
      <c r="E23" s="260">
        <f>+INDEX(Sheet1!A:D,MATCH(MapaIII!C23,Sheet1!A:A,0),2)</f>
        <v>400000</v>
      </c>
      <c r="F23" s="260">
        <f t="shared" ref="F23:F25" si="3">E23+D23</f>
        <v>400000</v>
      </c>
      <c r="G23" s="266">
        <f t="shared" si="0"/>
        <v>8.777605297102223E-4</v>
      </c>
      <c r="H23" s="107">
        <v>400000</v>
      </c>
      <c r="I23" s="267"/>
      <c r="J23" s="267"/>
      <c r="K23" s="267"/>
      <c r="L23" s="267">
        <v>17</v>
      </c>
      <c r="M23" s="267"/>
      <c r="N23" s="268">
        <f t="shared" si="2"/>
        <v>0</v>
      </c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267"/>
      <c r="BF23" s="267"/>
      <c r="BG23" s="267"/>
      <c r="BH23" s="267"/>
      <c r="BI23" s="267"/>
      <c r="BJ23" s="267"/>
      <c r="BK23" s="267"/>
      <c r="BL23" s="267"/>
      <c r="BM23" s="267"/>
      <c r="BN23" s="267"/>
      <c r="BO23" s="267"/>
      <c r="BP23" s="267"/>
      <c r="BQ23" s="267"/>
      <c r="BR23" s="267"/>
      <c r="BS23" s="267"/>
      <c r="BT23" s="267"/>
      <c r="BU23" s="267"/>
      <c r="BV23" s="267"/>
      <c r="BW23" s="267"/>
      <c r="BX23" s="267"/>
      <c r="BY23" s="267"/>
      <c r="BZ23" s="267"/>
      <c r="CA23" s="267"/>
      <c r="CB23" s="267"/>
      <c r="CC23" s="267"/>
      <c r="CD23" s="267"/>
      <c r="CE23" s="267"/>
      <c r="CF23" s="267"/>
      <c r="CG23" s="267"/>
      <c r="CH23" s="267"/>
      <c r="CI23" s="267"/>
      <c r="CJ23" s="267"/>
      <c r="CK23" s="267"/>
      <c r="CL23" s="267"/>
      <c r="CM23" s="267"/>
      <c r="CN23" s="267"/>
      <c r="CO23" s="267"/>
      <c r="CP23" s="267"/>
      <c r="CQ23" s="267"/>
      <c r="CR23" s="267"/>
      <c r="CS23" s="267"/>
      <c r="CT23" s="267"/>
      <c r="CU23" s="267"/>
      <c r="CV23" s="267"/>
      <c r="CW23" s="267"/>
      <c r="CX23" s="267"/>
      <c r="CY23" s="267"/>
      <c r="CZ23" s="267"/>
      <c r="DA23" s="267"/>
      <c r="DB23" s="267"/>
      <c r="DC23" s="267"/>
      <c r="DD23" s="267"/>
      <c r="DE23" s="267"/>
      <c r="DF23" s="267"/>
      <c r="DG23" s="267"/>
      <c r="DH23" s="267"/>
      <c r="DI23" s="267"/>
      <c r="DJ23" s="267"/>
      <c r="DK23" s="267"/>
      <c r="DL23" s="267"/>
      <c r="DM23" s="267"/>
      <c r="DN23" s="267"/>
      <c r="DO23" s="267"/>
      <c r="DP23" s="267"/>
      <c r="DQ23" s="267"/>
      <c r="DR23" s="267"/>
      <c r="DS23" s="267"/>
      <c r="DT23" s="267"/>
      <c r="DU23" s="267"/>
      <c r="DV23" s="267"/>
      <c r="DW23" s="267"/>
      <c r="DX23" s="267"/>
      <c r="DY23" s="267"/>
      <c r="DZ23" s="267"/>
      <c r="EA23" s="267"/>
      <c r="EB23" s="267"/>
      <c r="EC23" s="267"/>
      <c r="ED23" s="267"/>
      <c r="EE23" s="267"/>
      <c r="EF23" s="267"/>
      <c r="EG23" s="267"/>
      <c r="EH23" s="267"/>
      <c r="EI23" s="267"/>
      <c r="EJ23" s="267"/>
      <c r="EK23" s="267"/>
      <c r="EL23" s="267"/>
      <c r="EM23" s="267"/>
      <c r="EN23" s="267"/>
      <c r="EO23" s="267"/>
      <c r="EP23" s="267"/>
      <c r="EQ23" s="267"/>
      <c r="ER23" s="267"/>
      <c r="ES23" s="267"/>
      <c r="ET23" s="267"/>
      <c r="EU23" s="267"/>
      <c r="EV23" s="267"/>
      <c r="EW23" s="267"/>
      <c r="EX23" s="267"/>
      <c r="EY23" s="267"/>
      <c r="EZ23" s="267"/>
      <c r="FA23" s="267"/>
      <c r="FB23" s="267"/>
      <c r="FC23" s="267"/>
      <c r="FD23" s="267"/>
      <c r="FE23" s="267"/>
      <c r="FF23" s="267"/>
      <c r="FG23" s="267"/>
      <c r="FH23" s="267"/>
      <c r="FI23" s="267"/>
      <c r="FJ23" s="267"/>
      <c r="FK23" s="267"/>
      <c r="FL23" s="267"/>
      <c r="FM23" s="267"/>
      <c r="FN23" s="267"/>
      <c r="FO23" s="267"/>
      <c r="FP23" s="267"/>
      <c r="FQ23" s="267"/>
      <c r="FR23" s="267"/>
      <c r="FS23" s="267"/>
      <c r="FT23" s="267"/>
      <c r="FU23" s="267"/>
      <c r="FV23" s="267"/>
      <c r="FW23" s="267"/>
      <c r="FX23" s="267"/>
      <c r="FY23" s="267"/>
      <c r="FZ23" s="267"/>
      <c r="GA23" s="267"/>
      <c r="GB23" s="267"/>
      <c r="GC23" s="267"/>
      <c r="GD23" s="267"/>
      <c r="GE23" s="267"/>
      <c r="GF23" s="267"/>
      <c r="GG23" s="267"/>
      <c r="GH23" s="267"/>
      <c r="GI23" s="267"/>
      <c r="GJ23" s="267"/>
      <c r="GK23" s="267"/>
      <c r="GL23" s="267"/>
      <c r="GM23" s="267"/>
      <c r="GN23" s="267"/>
      <c r="GO23" s="267"/>
      <c r="GP23" s="267"/>
      <c r="GQ23" s="267"/>
      <c r="GR23" s="267"/>
      <c r="GS23" s="267"/>
      <c r="GT23" s="267"/>
      <c r="GU23" s="267"/>
      <c r="GV23" s="267"/>
      <c r="GW23" s="267"/>
      <c r="GX23" s="267"/>
      <c r="GY23" s="267"/>
      <c r="GZ23" s="267"/>
      <c r="HA23" s="267"/>
      <c r="HB23" s="267"/>
      <c r="HC23" s="267"/>
      <c r="HD23" s="267"/>
      <c r="HE23" s="267"/>
      <c r="HF23" s="267"/>
      <c r="HG23" s="267"/>
      <c r="HH23" s="267"/>
      <c r="HI23" s="267"/>
      <c r="HJ23" s="267"/>
      <c r="HK23" s="267"/>
      <c r="HL23" s="267"/>
      <c r="HM23" s="267"/>
      <c r="HN23" s="267"/>
      <c r="HO23" s="267"/>
      <c r="HP23" s="267"/>
      <c r="HQ23" s="267"/>
      <c r="HR23" s="267"/>
      <c r="HS23" s="267"/>
      <c r="HT23" s="267"/>
      <c r="HU23" s="267"/>
      <c r="HV23" s="267"/>
      <c r="HW23" s="267"/>
      <c r="HX23" s="267"/>
      <c r="HY23" s="267"/>
      <c r="HZ23" s="267"/>
      <c r="IA23" s="267"/>
      <c r="IB23" s="267"/>
      <c r="IC23" s="267"/>
      <c r="ID23" s="267"/>
      <c r="IE23" s="267"/>
      <c r="IF23" s="267"/>
      <c r="IG23" s="267"/>
      <c r="IH23" s="267"/>
      <c r="II23" s="267"/>
      <c r="IJ23" s="267"/>
      <c r="IK23" s="267"/>
      <c r="IL23" s="267"/>
      <c r="IM23" s="267"/>
      <c r="IN23" s="267"/>
      <c r="IO23" s="267"/>
      <c r="IP23" s="267"/>
      <c r="IQ23" s="267"/>
      <c r="IR23" s="267"/>
      <c r="IS23" s="267"/>
      <c r="IT23" s="267"/>
      <c r="IU23" s="267"/>
      <c r="IV23" s="267"/>
    </row>
    <row r="24" spans="1:256" x14ac:dyDescent="0.25">
      <c r="A24" s="263" t="s">
        <v>726</v>
      </c>
      <c r="B24" s="271" t="s">
        <v>451</v>
      </c>
      <c r="C24" s="263" t="s">
        <v>871</v>
      </c>
      <c r="D24" s="259">
        <v>0</v>
      </c>
      <c r="E24" s="260">
        <f>+INDEX(Sheet1!A:D,MATCH(MapaIII!C24,Sheet1!A:A,0),2)</f>
        <v>1100000</v>
      </c>
      <c r="F24" s="260">
        <f t="shared" si="3"/>
        <v>1100000</v>
      </c>
      <c r="G24" s="266">
        <f t="shared" si="0"/>
        <v>2.4138414567031114E-3</v>
      </c>
      <c r="H24" s="107">
        <v>1100000</v>
      </c>
      <c r="I24" s="267"/>
      <c r="J24" s="267"/>
      <c r="K24" s="267"/>
      <c r="L24" s="267" t="e">
        <v>#N/A</v>
      </c>
      <c r="M24" s="267"/>
      <c r="N24" s="268">
        <f t="shared" si="2"/>
        <v>0</v>
      </c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  <c r="CB24" s="267"/>
      <c r="CC24" s="267"/>
      <c r="CD24" s="267"/>
      <c r="CE24" s="267"/>
      <c r="CF24" s="267"/>
      <c r="CG24" s="267"/>
      <c r="CH24" s="267"/>
      <c r="CI24" s="267"/>
      <c r="CJ24" s="267"/>
      <c r="CK24" s="267"/>
      <c r="CL24" s="267"/>
      <c r="CM24" s="267"/>
      <c r="CN24" s="267"/>
      <c r="CO24" s="267"/>
      <c r="CP24" s="267"/>
      <c r="CQ24" s="267"/>
      <c r="CR24" s="267"/>
      <c r="CS24" s="267"/>
      <c r="CT24" s="267"/>
      <c r="CU24" s="267"/>
      <c r="CV24" s="267"/>
      <c r="CW24" s="267"/>
      <c r="CX24" s="267"/>
      <c r="CY24" s="267"/>
      <c r="CZ24" s="267"/>
      <c r="DA24" s="267"/>
      <c r="DB24" s="267"/>
      <c r="DC24" s="267"/>
      <c r="DD24" s="267"/>
      <c r="DE24" s="267"/>
      <c r="DF24" s="267"/>
      <c r="DG24" s="267"/>
      <c r="DH24" s="267"/>
      <c r="DI24" s="267"/>
      <c r="DJ24" s="267"/>
      <c r="DK24" s="267"/>
      <c r="DL24" s="267"/>
      <c r="DM24" s="267"/>
      <c r="DN24" s="267"/>
      <c r="DO24" s="267"/>
      <c r="DP24" s="267"/>
      <c r="DQ24" s="267"/>
      <c r="DR24" s="267"/>
      <c r="DS24" s="267"/>
      <c r="DT24" s="267"/>
      <c r="DU24" s="267"/>
      <c r="DV24" s="267"/>
      <c r="DW24" s="267"/>
      <c r="DX24" s="267"/>
      <c r="DY24" s="267"/>
      <c r="DZ24" s="267"/>
      <c r="EA24" s="267"/>
      <c r="EB24" s="267"/>
      <c r="EC24" s="267"/>
      <c r="ED24" s="267"/>
      <c r="EE24" s="267"/>
      <c r="EF24" s="267"/>
      <c r="EG24" s="267"/>
      <c r="EH24" s="267"/>
      <c r="EI24" s="267"/>
      <c r="EJ24" s="267"/>
      <c r="EK24" s="267"/>
      <c r="EL24" s="267"/>
      <c r="EM24" s="267"/>
      <c r="EN24" s="267"/>
      <c r="EO24" s="267"/>
      <c r="EP24" s="267"/>
      <c r="EQ24" s="267"/>
      <c r="ER24" s="267"/>
      <c r="ES24" s="267"/>
      <c r="ET24" s="267"/>
      <c r="EU24" s="267"/>
      <c r="EV24" s="267"/>
      <c r="EW24" s="267"/>
      <c r="EX24" s="267"/>
      <c r="EY24" s="267"/>
      <c r="EZ24" s="267"/>
      <c r="FA24" s="267"/>
      <c r="FB24" s="267"/>
      <c r="FC24" s="267"/>
      <c r="FD24" s="267"/>
      <c r="FE24" s="267"/>
      <c r="FF24" s="267"/>
      <c r="FG24" s="267"/>
      <c r="FH24" s="267"/>
      <c r="FI24" s="267"/>
      <c r="FJ24" s="267"/>
      <c r="FK24" s="267"/>
      <c r="FL24" s="267"/>
      <c r="FM24" s="267"/>
      <c r="FN24" s="267"/>
      <c r="FO24" s="267"/>
      <c r="FP24" s="267"/>
      <c r="FQ24" s="267"/>
      <c r="FR24" s="267"/>
      <c r="FS24" s="267"/>
      <c r="FT24" s="267"/>
      <c r="FU24" s="267"/>
      <c r="FV24" s="267"/>
      <c r="FW24" s="267"/>
      <c r="FX24" s="267"/>
      <c r="FY24" s="267"/>
      <c r="FZ24" s="267"/>
      <c r="GA24" s="267"/>
      <c r="GB24" s="267"/>
      <c r="GC24" s="267"/>
      <c r="GD24" s="267"/>
      <c r="GE24" s="267"/>
      <c r="GF24" s="267"/>
      <c r="GG24" s="267"/>
      <c r="GH24" s="267"/>
      <c r="GI24" s="267"/>
      <c r="GJ24" s="267"/>
      <c r="GK24" s="267"/>
      <c r="GL24" s="267"/>
      <c r="GM24" s="267"/>
      <c r="GN24" s="267"/>
      <c r="GO24" s="267"/>
      <c r="GP24" s="267"/>
      <c r="GQ24" s="267"/>
      <c r="GR24" s="267"/>
      <c r="GS24" s="267"/>
      <c r="GT24" s="267"/>
      <c r="GU24" s="267"/>
      <c r="GV24" s="267"/>
      <c r="GW24" s="267"/>
      <c r="GX24" s="267"/>
      <c r="GY24" s="267"/>
      <c r="GZ24" s="267"/>
      <c r="HA24" s="267"/>
      <c r="HB24" s="267"/>
      <c r="HC24" s="267"/>
      <c r="HD24" s="267"/>
      <c r="HE24" s="267"/>
      <c r="HF24" s="267"/>
      <c r="HG24" s="267"/>
      <c r="HH24" s="267"/>
      <c r="HI24" s="267"/>
      <c r="HJ24" s="267"/>
      <c r="HK24" s="267"/>
      <c r="HL24" s="267"/>
      <c r="HM24" s="267"/>
      <c r="HN24" s="267"/>
      <c r="HO24" s="267"/>
      <c r="HP24" s="267"/>
      <c r="HQ24" s="267"/>
      <c r="HR24" s="267"/>
      <c r="HS24" s="267"/>
      <c r="HT24" s="267"/>
      <c r="HU24" s="267"/>
      <c r="HV24" s="267"/>
      <c r="HW24" s="267"/>
      <c r="HX24" s="267"/>
      <c r="HY24" s="267"/>
      <c r="HZ24" s="267"/>
      <c r="IA24" s="267"/>
      <c r="IB24" s="267"/>
      <c r="IC24" s="267"/>
      <c r="ID24" s="267"/>
      <c r="IE24" s="267"/>
      <c r="IF24" s="267"/>
      <c r="IG24" s="267"/>
      <c r="IH24" s="267"/>
      <c r="II24" s="267"/>
      <c r="IJ24" s="267"/>
      <c r="IK24" s="267"/>
      <c r="IL24" s="267"/>
      <c r="IM24" s="267"/>
      <c r="IN24" s="267"/>
      <c r="IO24" s="267"/>
      <c r="IP24" s="267"/>
      <c r="IQ24" s="267"/>
      <c r="IR24" s="267"/>
      <c r="IS24" s="267"/>
      <c r="IT24" s="267"/>
      <c r="IU24" s="267"/>
      <c r="IV24" s="267"/>
    </row>
    <row r="25" spans="1:256" x14ac:dyDescent="0.25">
      <c r="A25" s="263" t="s">
        <v>726</v>
      </c>
      <c r="B25" s="271" t="s">
        <v>451</v>
      </c>
      <c r="C25" s="263" t="s">
        <v>728</v>
      </c>
      <c r="D25" s="259">
        <v>0</v>
      </c>
      <c r="E25" s="260">
        <f>+INDEX(Sheet1!A:D,MATCH(MapaIII!C25,Sheet1!A:A,0),2)</f>
        <v>500000</v>
      </c>
      <c r="F25" s="260">
        <f t="shared" si="3"/>
        <v>500000</v>
      </c>
      <c r="G25" s="266">
        <f t="shared" si="0"/>
        <v>1.0972006621377778E-3</v>
      </c>
      <c r="H25" s="107">
        <v>500000</v>
      </c>
      <c r="I25" s="267"/>
      <c r="J25" s="267"/>
      <c r="K25" s="267"/>
      <c r="L25" s="267">
        <v>10</v>
      </c>
      <c r="M25" s="267"/>
      <c r="N25" s="268">
        <f t="shared" si="2"/>
        <v>0</v>
      </c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A25" s="267"/>
      <c r="BB25" s="267"/>
      <c r="BC25" s="267"/>
      <c r="BD25" s="267"/>
      <c r="BE25" s="267"/>
      <c r="BF25" s="267"/>
      <c r="BG25" s="267"/>
      <c r="BH25" s="267"/>
      <c r="BI25" s="267"/>
      <c r="BJ25" s="267"/>
      <c r="BK25" s="267"/>
      <c r="BL25" s="267"/>
      <c r="BM25" s="267"/>
      <c r="BN25" s="267"/>
      <c r="BO25" s="267"/>
      <c r="BP25" s="267"/>
      <c r="BQ25" s="267"/>
      <c r="BR25" s="267"/>
      <c r="BS25" s="267"/>
      <c r="BT25" s="267"/>
      <c r="BU25" s="267"/>
      <c r="BV25" s="267"/>
      <c r="BW25" s="267"/>
      <c r="BX25" s="267"/>
      <c r="BY25" s="267"/>
      <c r="BZ25" s="267"/>
      <c r="CA25" s="267"/>
      <c r="CB25" s="267"/>
      <c r="CC25" s="267"/>
      <c r="CD25" s="267"/>
      <c r="CE25" s="267"/>
      <c r="CF25" s="267"/>
      <c r="CG25" s="267"/>
      <c r="CH25" s="267"/>
      <c r="CI25" s="267"/>
      <c r="CJ25" s="267"/>
      <c r="CK25" s="267"/>
      <c r="CL25" s="267"/>
      <c r="CM25" s="267"/>
      <c r="CN25" s="267"/>
      <c r="CO25" s="267"/>
      <c r="CP25" s="267"/>
      <c r="CQ25" s="267"/>
      <c r="CR25" s="267"/>
      <c r="CS25" s="267"/>
      <c r="CT25" s="267"/>
      <c r="CU25" s="267"/>
      <c r="CV25" s="267"/>
      <c r="CW25" s="267"/>
      <c r="CX25" s="267"/>
      <c r="CY25" s="267"/>
      <c r="CZ25" s="267"/>
      <c r="DA25" s="267"/>
      <c r="DB25" s="267"/>
      <c r="DC25" s="267"/>
      <c r="DD25" s="267"/>
      <c r="DE25" s="267"/>
      <c r="DF25" s="267"/>
      <c r="DG25" s="267"/>
      <c r="DH25" s="267"/>
      <c r="DI25" s="267"/>
      <c r="DJ25" s="267"/>
      <c r="DK25" s="267"/>
      <c r="DL25" s="267"/>
      <c r="DM25" s="267"/>
      <c r="DN25" s="267"/>
      <c r="DO25" s="267"/>
      <c r="DP25" s="267"/>
      <c r="DQ25" s="267"/>
      <c r="DR25" s="267"/>
      <c r="DS25" s="267"/>
      <c r="DT25" s="267"/>
      <c r="DU25" s="267"/>
      <c r="DV25" s="267"/>
      <c r="DW25" s="267"/>
      <c r="DX25" s="267"/>
      <c r="DY25" s="267"/>
      <c r="DZ25" s="267"/>
      <c r="EA25" s="267"/>
      <c r="EB25" s="267"/>
      <c r="EC25" s="267"/>
      <c r="ED25" s="267"/>
      <c r="EE25" s="267"/>
      <c r="EF25" s="267"/>
      <c r="EG25" s="267"/>
      <c r="EH25" s="267"/>
      <c r="EI25" s="267"/>
      <c r="EJ25" s="267"/>
      <c r="EK25" s="267"/>
      <c r="EL25" s="267"/>
      <c r="EM25" s="267"/>
      <c r="EN25" s="267"/>
      <c r="EO25" s="267"/>
      <c r="EP25" s="267"/>
      <c r="EQ25" s="267"/>
      <c r="ER25" s="267"/>
      <c r="ES25" s="267"/>
      <c r="ET25" s="267"/>
      <c r="EU25" s="267"/>
      <c r="EV25" s="267"/>
      <c r="EW25" s="267"/>
      <c r="EX25" s="267"/>
      <c r="EY25" s="267"/>
      <c r="EZ25" s="267"/>
      <c r="FA25" s="267"/>
      <c r="FB25" s="267"/>
      <c r="FC25" s="267"/>
      <c r="FD25" s="267"/>
      <c r="FE25" s="267"/>
      <c r="FF25" s="267"/>
      <c r="FG25" s="267"/>
      <c r="FH25" s="267"/>
      <c r="FI25" s="267"/>
      <c r="FJ25" s="267"/>
      <c r="FK25" s="267"/>
      <c r="FL25" s="267"/>
      <c r="FM25" s="267"/>
      <c r="FN25" s="267"/>
      <c r="FO25" s="267"/>
      <c r="FP25" s="267"/>
      <c r="FQ25" s="267"/>
      <c r="FR25" s="267"/>
      <c r="FS25" s="267"/>
      <c r="FT25" s="267"/>
      <c r="FU25" s="267"/>
      <c r="FV25" s="267"/>
      <c r="FW25" s="267"/>
      <c r="FX25" s="267"/>
      <c r="FY25" s="267"/>
      <c r="FZ25" s="267"/>
      <c r="GA25" s="267"/>
      <c r="GB25" s="267"/>
      <c r="GC25" s="267"/>
      <c r="GD25" s="267"/>
      <c r="GE25" s="267"/>
      <c r="GF25" s="267"/>
      <c r="GG25" s="267"/>
      <c r="GH25" s="267"/>
      <c r="GI25" s="267"/>
      <c r="GJ25" s="267"/>
      <c r="GK25" s="267"/>
      <c r="GL25" s="267"/>
      <c r="GM25" s="267"/>
      <c r="GN25" s="267"/>
      <c r="GO25" s="267"/>
      <c r="GP25" s="267"/>
      <c r="GQ25" s="267"/>
      <c r="GR25" s="267"/>
      <c r="GS25" s="267"/>
      <c r="GT25" s="267"/>
      <c r="GU25" s="267"/>
      <c r="GV25" s="267"/>
      <c r="GW25" s="267"/>
      <c r="GX25" s="267"/>
      <c r="GY25" s="267"/>
      <c r="GZ25" s="267"/>
      <c r="HA25" s="267"/>
      <c r="HB25" s="267"/>
      <c r="HC25" s="267"/>
      <c r="HD25" s="267"/>
      <c r="HE25" s="267"/>
      <c r="HF25" s="267"/>
      <c r="HG25" s="267"/>
      <c r="HH25" s="267"/>
      <c r="HI25" s="267"/>
      <c r="HJ25" s="267"/>
      <c r="HK25" s="267"/>
      <c r="HL25" s="267"/>
      <c r="HM25" s="267"/>
      <c r="HN25" s="267"/>
      <c r="HO25" s="267"/>
      <c r="HP25" s="267"/>
      <c r="HQ25" s="267"/>
      <c r="HR25" s="267"/>
      <c r="HS25" s="267"/>
      <c r="HT25" s="267"/>
      <c r="HU25" s="267"/>
      <c r="HV25" s="267"/>
      <c r="HW25" s="267"/>
      <c r="HX25" s="267"/>
      <c r="HY25" s="267"/>
      <c r="HZ25" s="267"/>
      <c r="IA25" s="267"/>
      <c r="IB25" s="267"/>
      <c r="IC25" s="267"/>
      <c r="ID25" s="267"/>
      <c r="IE25" s="267"/>
      <c r="IF25" s="267"/>
      <c r="IG25" s="267"/>
      <c r="IH25" s="267"/>
      <c r="II25" s="267"/>
      <c r="IJ25" s="267"/>
      <c r="IK25" s="267"/>
      <c r="IL25" s="267"/>
      <c r="IM25" s="267"/>
      <c r="IN25" s="267"/>
      <c r="IO25" s="267"/>
      <c r="IP25" s="267"/>
      <c r="IQ25" s="267"/>
      <c r="IR25" s="267"/>
      <c r="IS25" s="267"/>
      <c r="IT25" s="267"/>
      <c r="IU25" s="267"/>
      <c r="IV25" s="267"/>
    </row>
    <row r="26" spans="1:256" x14ac:dyDescent="0.25">
      <c r="A26" s="263" t="s">
        <v>729</v>
      </c>
      <c r="B26" s="273" t="s">
        <v>730</v>
      </c>
      <c r="C26" s="274" t="s">
        <v>731</v>
      </c>
      <c r="D26" s="259">
        <v>0</v>
      </c>
      <c r="E26" s="260">
        <f>+INDEX(Sheet1!A:D,MATCH(MapaIII!C26,Sheet1!A:A,0),2)</f>
        <v>1000000</v>
      </c>
      <c r="F26" s="260">
        <f>D26+E26</f>
        <v>1000000</v>
      </c>
      <c r="G26" s="266">
        <f t="shared" si="0"/>
        <v>2.1944013242755555E-3</v>
      </c>
      <c r="H26" s="107">
        <v>1000000</v>
      </c>
      <c r="I26" s="270"/>
      <c r="J26" s="270"/>
      <c r="K26" s="270"/>
      <c r="L26" s="267">
        <v>66</v>
      </c>
      <c r="M26" s="270"/>
      <c r="N26" s="268">
        <f t="shared" si="2"/>
        <v>0</v>
      </c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pans="1:256" x14ac:dyDescent="0.25">
      <c r="A27" s="263" t="s">
        <v>729</v>
      </c>
      <c r="B27" s="273" t="s">
        <v>730</v>
      </c>
      <c r="C27" s="274" t="s">
        <v>850</v>
      </c>
      <c r="D27" s="259">
        <v>0</v>
      </c>
      <c r="E27" s="260">
        <f>+INDEX(Sheet1!A:D,MATCH(MapaIII!C27,Sheet1!A:A,0),2)</f>
        <v>2000000</v>
      </c>
      <c r="F27" s="260">
        <f>D27+E27</f>
        <v>2000000</v>
      </c>
      <c r="G27" s="266">
        <f t="shared" ref="G27" si="4">F27/$F$9</f>
        <v>4.3888026485511111E-3</v>
      </c>
      <c r="H27" s="107">
        <v>2000000</v>
      </c>
      <c r="I27" s="270"/>
      <c r="J27" s="270"/>
      <c r="K27" s="270"/>
      <c r="L27" s="267" t="e">
        <v>#N/A</v>
      </c>
      <c r="M27" s="270"/>
      <c r="N27" s="268">
        <f t="shared" ref="N27" si="5">+H27-E27</f>
        <v>0</v>
      </c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pans="1:256" x14ac:dyDescent="0.25">
      <c r="A28" s="263" t="s">
        <v>732</v>
      </c>
      <c r="B28" s="273" t="s">
        <v>471</v>
      </c>
      <c r="C28" s="275" t="s">
        <v>733</v>
      </c>
      <c r="D28" s="259">
        <v>0</v>
      </c>
      <c r="E28" s="260">
        <f>+INDEX(Sheet1!A:D,MATCH(MapaIII!C28,Sheet1!A:A,0),2)</f>
        <v>1700000</v>
      </c>
      <c r="F28" s="260">
        <f>D28+E28</f>
        <v>1700000</v>
      </c>
      <c r="G28" s="266">
        <f t="shared" si="0"/>
        <v>3.7304822512684447E-3</v>
      </c>
      <c r="H28" s="107">
        <v>1700000</v>
      </c>
      <c r="I28" s="270"/>
      <c r="J28" s="270"/>
      <c r="K28" s="270"/>
      <c r="L28" s="267">
        <v>29</v>
      </c>
      <c r="M28" s="270"/>
      <c r="N28" s="268">
        <f t="shared" si="2"/>
        <v>0</v>
      </c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pans="1:256" x14ac:dyDescent="0.25">
      <c r="A29" s="263" t="s">
        <v>732</v>
      </c>
      <c r="B29" s="273" t="s">
        <v>471</v>
      </c>
      <c r="C29" s="275" t="s">
        <v>1026</v>
      </c>
      <c r="D29" s="259">
        <v>0</v>
      </c>
      <c r="E29" s="260">
        <f>+INDEX(Sheet1!A:D,MATCH(MapaIII!C29,Sheet1!A:A,0),2)</f>
        <v>1200000</v>
      </c>
      <c r="F29" s="260">
        <f>D29+E29</f>
        <v>1200000</v>
      </c>
      <c r="G29" s="266">
        <f t="shared" ref="G29" si="6">F29/$F$9</f>
        <v>2.6332815891306669E-3</v>
      </c>
      <c r="H29" s="107" t="e">
        <v>#N/A</v>
      </c>
      <c r="I29" s="270"/>
      <c r="J29" s="270"/>
      <c r="K29" s="270"/>
      <c r="L29" s="267" t="e">
        <v>#N/A</v>
      </c>
      <c r="M29" s="270"/>
      <c r="N29" s="268" t="e">
        <f t="shared" ref="N29" si="7">+H29-E29</f>
        <v>#N/A</v>
      </c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pans="1:256" x14ac:dyDescent="0.25">
      <c r="A30" s="263" t="s">
        <v>734</v>
      </c>
      <c r="B30" s="273" t="s">
        <v>471</v>
      </c>
      <c r="C30" s="275" t="s">
        <v>735</v>
      </c>
      <c r="D30" s="259">
        <v>0</v>
      </c>
      <c r="E30" s="260">
        <f>+INDEX(Sheet1!A:D,MATCH(MapaIII!C30,Sheet1!A:A,0),2)</f>
        <v>3000000</v>
      </c>
      <c r="F30" s="260">
        <f>D30+E30</f>
        <v>3000000</v>
      </c>
      <c r="G30" s="266">
        <f t="shared" si="0"/>
        <v>6.5832039728266666E-3</v>
      </c>
      <c r="H30" s="107">
        <v>3000000</v>
      </c>
      <c r="I30" s="270"/>
      <c r="J30" s="270"/>
      <c r="K30" s="270"/>
      <c r="L30" s="267">
        <v>27</v>
      </c>
      <c r="M30" s="270"/>
      <c r="N30" s="268">
        <f t="shared" si="2"/>
        <v>0</v>
      </c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pans="1:256" x14ac:dyDescent="0.25">
      <c r="A31" s="263" t="s">
        <v>736</v>
      </c>
      <c r="B31" s="273" t="s">
        <v>471</v>
      </c>
      <c r="C31" s="275" t="s">
        <v>737</v>
      </c>
      <c r="D31" s="259">
        <v>0</v>
      </c>
      <c r="E31" s="260">
        <f>+INDEX(Sheet1!A:D,MATCH(MapaIII!C31,Sheet1!A:A,0),2)</f>
        <v>5000000</v>
      </c>
      <c r="F31" s="260">
        <f t="shared" ref="F31" si="8">E31+D31</f>
        <v>5000000</v>
      </c>
      <c r="G31" s="266">
        <f t="shared" si="0"/>
        <v>1.0972006621377779E-2</v>
      </c>
      <c r="H31" s="107">
        <v>5000000</v>
      </c>
      <c r="I31" s="270"/>
      <c r="J31" s="270"/>
      <c r="K31" s="270"/>
      <c r="L31" s="267">
        <v>28</v>
      </c>
      <c r="M31" s="270"/>
      <c r="N31" s="268">
        <f t="shared" si="2"/>
        <v>0</v>
      </c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pans="1:256" x14ac:dyDescent="0.2">
      <c r="A32" s="241" t="s">
        <v>738</v>
      </c>
      <c r="B32" s="242"/>
      <c r="C32" s="243" t="s">
        <v>739</v>
      </c>
      <c r="D32" s="261">
        <f>+SUM(D33:D38)</f>
        <v>0</v>
      </c>
      <c r="E32" s="244">
        <f>+SUM(E33:E38)</f>
        <v>27800000</v>
      </c>
      <c r="F32" s="244">
        <f>SUM(D32:E32)</f>
        <v>27800000</v>
      </c>
      <c r="G32" s="245">
        <f t="shared" si="0"/>
        <v>6.1004356814860446E-2</v>
      </c>
      <c r="H32" s="267">
        <v>0</v>
      </c>
      <c r="I32" s="283"/>
      <c r="J32" s="283"/>
      <c r="K32" s="246"/>
      <c r="L32" s="267" t="e">
        <v>#N/A</v>
      </c>
      <c r="M32" s="246"/>
      <c r="N32" s="268">
        <f t="shared" si="2"/>
        <v>-27800000</v>
      </c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/>
      <c r="CW32" s="246"/>
      <c r="CX32" s="246"/>
      <c r="CY32" s="246"/>
      <c r="CZ32" s="246"/>
      <c r="DA32" s="246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  <c r="EH32" s="246"/>
      <c r="EI32" s="246"/>
      <c r="EJ32" s="246"/>
      <c r="EK32" s="246"/>
      <c r="EL32" s="246"/>
      <c r="EM32" s="246"/>
      <c r="EN32" s="246"/>
      <c r="EO32" s="246"/>
      <c r="EP32" s="246"/>
      <c r="EQ32" s="246"/>
      <c r="ER32" s="246"/>
      <c r="ES32" s="246"/>
      <c r="ET32" s="246"/>
      <c r="EU32" s="246"/>
      <c r="EV32" s="246"/>
      <c r="EW32" s="246"/>
      <c r="EX32" s="246"/>
      <c r="EY32" s="246"/>
      <c r="EZ32" s="246"/>
      <c r="FA32" s="246"/>
      <c r="FB32" s="246"/>
      <c r="FC32" s="246"/>
      <c r="FD32" s="246"/>
      <c r="FE32" s="246"/>
      <c r="FF32" s="246"/>
      <c r="FG32" s="246"/>
      <c r="FH32" s="246"/>
      <c r="FI32" s="246"/>
      <c r="FJ32" s="246"/>
      <c r="FK32" s="246"/>
      <c r="FL32" s="246"/>
      <c r="FM32" s="246"/>
      <c r="FN32" s="246"/>
      <c r="FO32" s="246"/>
      <c r="FP32" s="246"/>
      <c r="FQ32" s="246"/>
      <c r="FR32" s="246"/>
      <c r="FS32" s="246"/>
      <c r="FT32" s="246"/>
      <c r="FU32" s="246"/>
      <c r="FV32" s="246"/>
      <c r="FW32" s="246"/>
      <c r="FX32" s="246"/>
      <c r="FY32" s="246"/>
      <c r="FZ32" s="246"/>
      <c r="GA32" s="246"/>
      <c r="GB32" s="246"/>
      <c r="GC32" s="246"/>
      <c r="GD32" s="246"/>
      <c r="GE32" s="246"/>
      <c r="GF32" s="246"/>
      <c r="GG32" s="246"/>
      <c r="GH32" s="246"/>
      <c r="GI32" s="246"/>
      <c r="GJ32" s="246"/>
      <c r="GK32" s="246"/>
      <c r="GL32" s="246"/>
      <c r="GM32" s="246"/>
      <c r="GN32" s="246"/>
      <c r="GO32" s="246"/>
      <c r="GP32" s="246"/>
      <c r="GQ32" s="246"/>
      <c r="GR32" s="246"/>
      <c r="GS32" s="246"/>
      <c r="GT32" s="246"/>
      <c r="GU32" s="246"/>
      <c r="GV32" s="246"/>
      <c r="GW32" s="246"/>
      <c r="GX32" s="246"/>
      <c r="GY32" s="246"/>
      <c r="GZ32" s="246"/>
      <c r="HA32" s="246"/>
      <c r="HB32" s="246"/>
      <c r="HC32" s="246"/>
      <c r="HD32" s="246"/>
      <c r="HE32" s="246"/>
      <c r="HF32" s="246"/>
      <c r="HG32" s="246"/>
      <c r="HH32" s="246"/>
      <c r="HI32" s="246"/>
      <c r="HJ32" s="246"/>
      <c r="HK32" s="246"/>
      <c r="HL32" s="246"/>
      <c r="HM32" s="246"/>
      <c r="HN32" s="246"/>
      <c r="HO32" s="246"/>
      <c r="HP32" s="246"/>
      <c r="HQ32" s="246"/>
      <c r="HR32" s="246"/>
      <c r="HS32" s="246"/>
      <c r="HT32" s="246"/>
      <c r="HU32" s="246"/>
      <c r="HV32" s="246"/>
      <c r="HW32" s="246"/>
      <c r="HX32" s="246"/>
      <c r="HY32" s="246"/>
      <c r="HZ32" s="246"/>
      <c r="IA32" s="246"/>
      <c r="IB32" s="246"/>
      <c r="IC32" s="246"/>
      <c r="ID32" s="246"/>
      <c r="IE32" s="246"/>
      <c r="IF32" s="246"/>
      <c r="IG32" s="246"/>
      <c r="IH32" s="246"/>
      <c r="II32" s="246"/>
      <c r="IJ32" s="246"/>
      <c r="IK32" s="246"/>
      <c r="IL32" s="246"/>
      <c r="IM32" s="246"/>
      <c r="IN32" s="246"/>
      <c r="IO32" s="246"/>
      <c r="IP32" s="246"/>
      <c r="IQ32" s="246"/>
      <c r="IR32" s="246"/>
      <c r="IS32" s="246"/>
      <c r="IT32" s="246"/>
      <c r="IU32" s="246"/>
      <c r="IV32" s="246"/>
    </row>
    <row r="33" spans="1:256" x14ac:dyDescent="0.25">
      <c r="A33" s="263" t="s">
        <v>740</v>
      </c>
      <c r="B33" s="273" t="s">
        <v>471</v>
      </c>
      <c r="C33" s="276" t="s">
        <v>741</v>
      </c>
      <c r="D33" s="259">
        <v>0</v>
      </c>
      <c r="E33" s="260">
        <f>+INDEX(Sheet1!A:D,MATCH(MapaIII!C33,Sheet1!A:A,0),2)</f>
        <v>1000000</v>
      </c>
      <c r="F33" s="260">
        <f t="shared" ref="F33:F38" si="9">E33+D33</f>
        <v>1000000</v>
      </c>
      <c r="G33" s="266">
        <f t="shared" si="0"/>
        <v>2.1944013242755555E-3</v>
      </c>
      <c r="H33" s="107">
        <v>1000000</v>
      </c>
      <c r="I33" s="283"/>
      <c r="J33" s="283"/>
      <c r="K33" s="267"/>
      <c r="L33" s="267">
        <v>36</v>
      </c>
      <c r="M33" s="267"/>
      <c r="N33" s="268">
        <f t="shared" si="2"/>
        <v>0</v>
      </c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  <c r="AM33" s="267"/>
      <c r="AN33" s="267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267"/>
      <c r="BK33" s="267"/>
      <c r="BL33" s="267"/>
      <c r="BM33" s="267"/>
      <c r="BN33" s="267"/>
      <c r="BO33" s="267"/>
      <c r="BP33" s="267"/>
      <c r="BQ33" s="267"/>
      <c r="BR33" s="267"/>
      <c r="BS33" s="267"/>
      <c r="BT33" s="267"/>
      <c r="BU33" s="267"/>
      <c r="BV33" s="267"/>
      <c r="BW33" s="267"/>
      <c r="BX33" s="267"/>
      <c r="BY33" s="267"/>
      <c r="BZ33" s="267"/>
      <c r="CA33" s="267"/>
      <c r="CB33" s="267"/>
      <c r="CC33" s="267"/>
      <c r="CD33" s="267"/>
      <c r="CE33" s="267"/>
      <c r="CF33" s="267"/>
      <c r="CG33" s="267"/>
      <c r="CH33" s="267"/>
      <c r="CI33" s="267"/>
      <c r="CJ33" s="267"/>
      <c r="CK33" s="267"/>
      <c r="CL33" s="267"/>
      <c r="CM33" s="267"/>
      <c r="CN33" s="267"/>
      <c r="CO33" s="267"/>
      <c r="CP33" s="267"/>
      <c r="CQ33" s="267"/>
      <c r="CR33" s="267"/>
      <c r="CS33" s="267"/>
      <c r="CT33" s="267"/>
      <c r="CU33" s="267"/>
      <c r="CV33" s="267"/>
      <c r="CW33" s="267"/>
      <c r="CX33" s="267"/>
      <c r="CY33" s="267"/>
      <c r="CZ33" s="267"/>
      <c r="DA33" s="267"/>
      <c r="DB33" s="267"/>
      <c r="DC33" s="267"/>
      <c r="DD33" s="267"/>
      <c r="DE33" s="267"/>
      <c r="DF33" s="267"/>
      <c r="DG33" s="267"/>
      <c r="DH33" s="267"/>
      <c r="DI33" s="267"/>
      <c r="DJ33" s="267"/>
      <c r="DK33" s="267"/>
      <c r="DL33" s="267"/>
      <c r="DM33" s="267"/>
      <c r="DN33" s="267"/>
      <c r="DO33" s="267"/>
      <c r="DP33" s="267"/>
      <c r="DQ33" s="267"/>
      <c r="DR33" s="267"/>
      <c r="DS33" s="267"/>
      <c r="DT33" s="267"/>
      <c r="DU33" s="267"/>
      <c r="DV33" s="267"/>
      <c r="DW33" s="267"/>
      <c r="DX33" s="267"/>
      <c r="DY33" s="267"/>
      <c r="DZ33" s="267"/>
      <c r="EA33" s="267"/>
      <c r="EB33" s="267"/>
      <c r="EC33" s="267"/>
      <c r="ED33" s="267"/>
      <c r="EE33" s="267"/>
      <c r="EF33" s="267"/>
      <c r="EG33" s="267"/>
      <c r="EH33" s="267"/>
      <c r="EI33" s="267"/>
      <c r="EJ33" s="267"/>
      <c r="EK33" s="267"/>
      <c r="EL33" s="267"/>
      <c r="EM33" s="267"/>
      <c r="EN33" s="267"/>
      <c r="EO33" s="267"/>
      <c r="EP33" s="267"/>
      <c r="EQ33" s="267"/>
      <c r="ER33" s="267"/>
      <c r="ES33" s="267"/>
      <c r="ET33" s="267"/>
      <c r="EU33" s="267"/>
      <c r="EV33" s="267"/>
      <c r="EW33" s="267"/>
      <c r="EX33" s="267"/>
      <c r="EY33" s="267"/>
      <c r="EZ33" s="267"/>
      <c r="FA33" s="267"/>
      <c r="FB33" s="267"/>
      <c r="FC33" s="267"/>
      <c r="FD33" s="267"/>
      <c r="FE33" s="267"/>
      <c r="FF33" s="267"/>
      <c r="FG33" s="267"/>
      <c r="FH33" s="267"/>
      <c r="FI33" s="267"/>
      <c r="FJ33" s="267"/>
      <c r="FK33" s="267"/>
      <c r="FL33" s="267"/>
      <c r="FM33" s="267"/>
      <c r="FN33" s="267"/>
      <c r="FO33" s="267"/>
      <c r="FP33" s="267"/>
      <c r="FQ33" s="267"/>
      <c r="FR33" s="267"/>
      <c r="FS33" s="267"/>
      <c r="FT33" s="267"/>
      <c r="FU33" s="267"/>
      <c r="FV33" s="267"/>
      <c r="FW33" s="267"/>
      <c r="FX33" s="267"/>
      <c r="FY33" s="267"/>
      <c r="FZ33" s="267"/>
      <c r="GA33" s="267"/>
      <c r="GB33" s="267"/>
      <c r="GC33" s="267"/>
      <c r="GD33" s="267"/>
      <c r="GE33" s="267"/>
      <c r="GF33" s="267"/>
      <c r="GG33" s="267"/>
      <c r="GH33" s="267"/>
      <c r="GI33" s="267"/>
      <c r="GJ33" s="267"/>
      <c r="GK33" s="267"/>
      <c r="GL33" s="267"/>
      <c r="GM33" s="267"/>
      <c r="GN33" s="267"/>
      <c r="GO33" s="267"/>
      <c r="GP33" s="267"/>
      <c r="GQ33" s="267"/>
      <c r="GR33" s="267"/>
      <c r="GS33" s="267"/>
      <c r="GT33" s="267"/>
      <c r="GU33" s="267"/>
      <c r="GV33" s="267"/>
      <c r="GW33" s="267"/>
      <c r="GX33" s="267"/>
      <c r="GY33" s="267"/>
      <c r="GZ33" s="267"/>
      <c r="HA33" s="267"/>
      <c r="HB33" s="267"/>
      <c r="HC33" s="267"/>
      <c r="HD33" s="267"/>
      <c r="HE33" s="267"/>
      <c r="HF33" s="267"/>
      <c r="HG33" s="267"/>
      <c r="HH33" s="267"/>
      <c r="HI33" s="267"/>
      <c r="HJ33" s="267"/>
      <c r="HK33" s="267"/>
      <c r="HL33" s="267"/>
      <c r="HM33" s="267"/>
      <c r="HN33" s="267"/>
      <c r="HO33" s="267"/>
      <c r="HP33" s="267"/>
      <c r="HQ33" s="267"/>
      <c r="HR33" s="267"/>
      <c r="HS33" s="267"/>
      <c r="HT33" s="267"/>
      <c r="HU33" s="267"/>
      <c r="HV33" s="267"/>
      <c r="HW33" s="267"/>
      <c r="HX33" s="267"/>
      <c r="HY33" s="267"/>
      <c r="HZ33" s="267"/>
      <c r="IA33" s="267"/>
      <c r="IB33" s="267"/>
      <c r="IC33" s="267"/>
      <c r="ID33" s="267"/>
      <c r="IE33" s="267"/>
      <c r="IF33" s="267"/>
      <c r="IG33" s="267"/>
      <c r="IH33" s="267"/>
      <c r="II33" s="267"/>
      <c r="IJ33" s="267"/>
      <c r="IK33" s="267"/>
      <c r="IL33" s="267"/>
      <c r="IM33" s="267"/>
      <c r="IN33" s="267"/>
      <c r="IO33" s="267"/>
      <c r="IP33" s="267"/>
      <c r="IQ33" s="267"/>
      <c r="IR33" s="267"/>
      <c r="IS33" s="267"/>
      <c r="IT33" s="267"/>
      <c r="IU33" s="267"/>
      <c r="IV33" s="267"/>
    </row>
    <row r="34" spans="1:256" x14ac:dyDescent="0.25">
      <c r="A34" s="263" t="s">
        <v>742</v>
      </c>
      <c r="B34" s="273" t="s">
        <v>451</v>
      </c>
      <c r="C34" s="276" t="s">
        <v>743</v>
      </c>
      <c r="D34" s="259">
        <v>0</v>
      </c>
      <c r="E34" s="260">
        <f>+INDEX(Sheet1!A:D,MATCH(MapaIII!C34,Sheet1!A:A,0),2)</f>
        <v>4000000</v>
      </c>
      <c r="F34" s="260">
        <f t="shared" si="9"/>
        <v>4000000</v>
      </c>
      <c r="G34" s="266">
        <f t="shared" si="0"/>
        <v>8.7776052971022221E-3</v>
      </c>
      <c r="H34" s="107">
        <v>4000000</v>
      </c>
      <c r="I34" s="283"/>
      <c r="J34" s="283"/>
      <c r="K34" s="267"/>
      <c r="L34" s="267">
        <v>21</v>
      </c>
      <c r="M34" s="267"/>
      <c r="N34" s="268">
        <f t="shared" si="2"/>
        <v>0</v>
      </c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67"/>
      <c r="AP34" s="267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7"/>
      <c r="BC34" s="267"/>
      <c r="BD34" s="267"/>
      <c r="BE34" s="267"/>
      <c r="BF34" s="267"/>
      <c r="BG34" s="267"/>
      <c r="BH34" s="267"/>
      <c r="BI34" s="267"/>
      <c r="BJ34" s="267"/>
      <c r="BK34" s="267"/>
      <c r="BL34" s="267"/>
      <c r="BM34" s="267"/>
      <c r="BN34" s="267"/>
      <c r="BO34" s="267"/>
      <c r="BP34" s="267"/>
      <c r="BQ34" s="267"/>
      <c r="BR34" s="267"/>
      <c r="BS34" s="267"/>
      <c r="BT34" s="267"/>
      <c r="BU34" s="267"/>
      <c r="BV34" s="267"/>
      <c r="BW34" s="267"/>
      <c r="BX34" s="267"/>
      <c r="BY34" s="267"/>
      <c r="BZ34" s="267"/>
      <c r="CA34" s="267"/>
      <c r="CB34" s="267"/>
      <c r="CC34" s="267"/>
      <c r="CD34" s="267"/>
      <c r="CE34" s="267"/>
      <c r="CF34" s="267"/>
      <c r="CG34" s="267"/>
      <c r="CH34" s="267"/>
      <c r="CI34" s="267"/>
      <c r="CJ34" s="267"/>
      <c r="CK34" s="267"/>
      <c r="CL34" s="267"/>
      <c r="CM34" s="267"/>
      <c r="CN34" s="267"/>
      <c r="CO34" s="267"/>
      <c r="CP34" s="267"/>
      <c r="CQ34" s="267"/>
      <c r="CR34" s="267"/>
      <c r="CS34" s="267"/>
      <c r="CT34" s="267"/>
      <c r="CU34" s="267"/>
      <c r="CV34" s="267"/>
      <c r="CW34" s="267"/>
      <c r="CX34" s="267"/>
      <c r="CY34" s="267"/>
      <c r="CZ34" s="267"/>
      <c r="DA34" s="267"/>
      <c r="DB34" s="267"/>
      <c r="DC34" s="267"/>
      <c r="DD34" s="267"/>
      <c r="DE34" s="267"/>
      <c r="DF34" s="267"/>
      <c r="DG34" s="267"/>
      <c r="DH34" s="267"/>
      <c r="DI34" s="267"/>
      <c r="DJ34" s="267"/>
      <c r="DK34" s="267"/>
      <c r="DL34" s="267"/>
      <c r="DM34" s="267"/>
      <c r="DN34" s="267"/>
      <c r="DO34" s="267"/>
      <c r="DP34" s="267"/>
      <c r="DQ34" s="267"/>
      <c r="DR34" s="267"/>
      <c r="DS34" s="267"/>
      <c r="DT34" s="267"/>
      <c r="DU34" s="267"/>
      <c r="DV34" s="267"/>
      <c r="DW34" s="267"/>
      <c r="DX34" s="267"/>
      <c r="DY34" s="267"/>
      <c r="DZ34" s="267"/>
      <c r="EA34" s="267"/>
      <c r="EB34" s="267"/>
      <c r="EC34" s="267"/>
      <c r="ED34" s="267"/>
      <c r="EE34" s="267"/>
      <c r="EF34" s="267"/>
      <c r="EG34" s="267"/>
      <c r="EH34" s="267"/>
      <c r="EI34" s="267"/>
      <c r="EJ34" s="267"/>
      <c r="EK34" s="267"/>
      <c r="EL34" s="267"/>
      <c r="EM34" s="267"/>
      <c r="EN34" s="267"/>
      <c r="EO34" s="267"/>
      <c r="EP34" s="267"/>
      <c r="EQ34" s="267"/>
      <c r="ER34" s="267"/>
      <c r="ES34" s="267"/>
      <c r="ET34" s="267"/>
      <c r="EU34" s="267"/>
      <c r="EV34" s="267"/>
      <c r="EW34" s="267"/>
      <c r="EX34" s="267"/>
      <c r="EY34" s="267"/>
      <c r="EZ34" s="267"/>
      <c r="FA34" s="267"/>
      <c r="FB34" s="267"/>
      <c r="FC34" s="267"/>
      <c r="FD34" s="267"/>
      <c r="FE34" s="267"/>
      <c r="FF34" s="267"/>
      <c r="FG34" s="267"/>
      <c r="FH34" s="267"/>
      <c r="FI34" s="267"/>
      <c r="FJ34" s="267"/>
      <c r="FK34" s="267"/>
      <c r="FL34" s="267"/>
      <c r="FM34" s="267"/>
      <c r="FN34" s="267"/>
      <c r="FO34" s="267"/>
      <c r="FP34" s="267"/>
      <c r="FQ34" s="267"/>
      <c r="FR34" s="267"/>
      <c r="FS34" s="267"/>
      <c r="FT34" s="267"/>
      <c r="FU34" s="267"/>
      <c r="FV34" s="267"/>
      <c r="FW34" s="267"/>
      <c r="FX34" s="267"/>
      <c r="FY34" s="267"/>
      <c r="FZ34" s="267"/>
      <c r="GA34" s="267"/>
      <c r="GB34" s="267"/>
      <c r="GC34" s="267"/>
      <c r="GD34" s="267"/>
      <c r="GE34" s="267"/>
      <c r="GF34" s="267"/>
      <c r="GG34" s="267"/>
      <c r="GH34" s="267"/>
      <c r="GI34" s="267"/>
      <c r="GJ34" s="267"/>
      <c r="GK34" s="267"/>
      <c r="GL34" s="267"/>
      <c r="GM34" s="267"/>
      <c r="GN34" s="267"/>
      <c r="GO34" s="267"/>
      <c r="GP34" s="267"/>
      <c r="GQ34" s="267"/>
      <c r="GR34" s="267"/>
      <c r="GS34" s="267"/>
      <c r="GT34" s="267"/>
      <c r="GU34" s="267"/>
      <c r="GV34" s="267"/>
      <c r="GW34" s="267"/>
      <c r="GX34" s="267"/>
      <c r="GY34" s="267"/>
      <c r="GZ34" s="267"/>
      <c r="HA34" s="267"/>
      <c r="HB34" s="267"/>
      <c r="HC34" s="267"/>
      <c r="HD34" s="267"/>
      <c r="HE34" s="267"/>
      <c r="HF34" s="267"/>
      <c r="HG34" s="267"/>
      <c r="HH34" s="267"/>
      <c r="HI34" s="267"/>
      <c r="HJ34" s="267"/>
      <c r="HK34" s="267"/>
      <c r="HL34" s="267"/>
      <c r="HM34" s="267"/>
      <c r="HN34" s="267"/>
      <c r="HO34" s="267"/>
      <c r="HP34" s="267"/>
      <c r="HQ34" s="267"/>
      <c r="HR34" s="267"/>
      <c r="HS34" s="267"/>
      <c r="HT34" s="267"/>
      <c r="HU34" s="267"/>
      <c r="HV34" s="267"/>
      <c r="HW34" s="267"/>
      <c r="HX34" s="267"/>
      <c r="HY34" s="267"/>
      <c r="HZ34" s="267"/>
      <c r="IA34" s="267"/>
      <c r="IB34" s="267"/>
      <c r="IC34" s="267"/>
      <c r="ID34" s="267"/>
      <c r="IE34" s="267"/>
      <c r="IF34" s="267"/>
      <c r="IG34" s="267"/>
      <c r="IH34" s="267"/>
      <c r="II34" s="267"/>
      <c r="IJ34" s="267"/>
      <c r="IK34" s="267"/>
      <c r="IL34" s="267"/>
      <c r="IM34" s="267"/>
      <c r="IN34" s="267"/>
      <c r="IO34" s="267"/>
      <c r="IP34" s="267"/>
      <c r="IQ34" s="267"/>
      <c r="IR34" s="267"/>
      <c r="IS34" s="267"/>
      <c r="IT34" s="267"/>
      <c r="IU34" s="267"/>
      <c r="IV34" s="267"/>
    </row>
    <row r="35" spans="1:256" x14ac:dyDescent="0.25">
      <c r="A35" s="263" t="s">
        <v>742</v>
      </c>
      <c r="B35" s="273" t="s">
        <v>487</v>
      </c>
      <c r="C35" s="276" t="s">
        <v>744</v>
      </c>
      <c r="D35" s="259">
        <v>0</v>
      </c>
      <c r="E35" s="260">
        <f>+INDEX(Sheet1!A:D,MATCH(MapaIII!C35,Sheet1!A:A,0),2)</f>
        <v>4000000</v>
      </c>
      <c r="F35" s="260">
        <f t="shared" si="9"/>
        <v>4000000</v>
      </c>
      <c r="G35" s="266">
        <f t="shared" si="0"/>
        <v>8.7776052971022221E-3</v>
      </c>
      <c r="H35" s="107">
        <v>4000000</v>
      </c>
      <c r="I35" s="283"/>
      <c r="J35" s="283"/>
      <c r="K35" s="267"/>
      <c r="L35" s="267">
        <v>65</v>
      </c>
      <c r="M35" s="267"/>
      <c r="N35" s="268">
        <f t="shared" si="2"/>
        <v>0</v>
      </c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7"/>
      <c r="BE35" s="267"/>
      <c r="BF35" s="267"/>
      <c r="BG35" s="267"/>
      <c r="BH35" s="267"/>
      <c r="BI35" s="267"/>
      <c r="BJ35" s="267"/>
      <c r="BK35" s="267"/>
      <c r="BL35" s="267"/>
      <c r="BM35" s="267"/>
      <c r="BN35" s="267"/>
      <c r="BO35" s="267"/>
      <c r="BP35" s="267"/>
      <c r="BQ35" s="267"/>
      <c r="BR35" s="267"/>
      <c r="BS35" s="267"/>
      <c r="BT35" s="267"/>
      <c r="BU35" s="267"/>
      <c r="BV35" s="267"/>
      <c r="BW35" s="267"/>
      <c r="BX35" s="267"/>
      <c r="BY35" s="267"/>
      <c r="BZ35" s="267"/>
      <c r="CA35" s="267"/>
      <c r="CB35" s="267"/>
      <c r="CC35" s="267"/>
      <c r="CD35" s="267"/>
      <c r="CE35" s="267"/>
      <c r="CF35" s="267"/>
      <c r="CG35" s="267"/>
      <c r="CH35" s="267"/>
      <c r="CI35" s="267"/>
      <c r="CJ35" s="267"/>
      <c r="CK35" s="267"/>
      <c r="CL35" s="267"/>
      <c r="CM35" s="267"/>
      <c r="CN35" s="267"/>
      <c r="CO35" s="267"/>
      <c r="CP35" s="267"/>
      <c r="CQ35" s="267"/>
      <c r="CR35" s="267"/>
      <c r="CS35" s="267"/>
      <c r="CT35" s="267"/>
      <c r="CU35" s="267"/>
      <c r="CV35" s="267"/>
      <c r="CW35" s="267"/>
      <c r="CX35" s="267"/>
      <c r="CY35" s="267"/>
      <c r="CZ35" s="267"/>
      <c r="DA35" s="267"/>
      <c r="DB35" s="267"/>
      <c r="DC35" s="267"/>
      <c r="DD35" s="267"/>
      <c r="DE35" s="267"/>
      <c r="DF35" s="267"/>
      <c r="DG35" s="267"/>
      <c r="DH35" s="267"/>
      <c r="DI35" s="267"/>
      <c r="DJ35" s="267"/>
      <c r="DK35" s="267"/>
      <c r="DL35" s="267"/>
      <c r="DM35" s="267"/>
      <c r="DN35" s="267"/>
      <c r="DO35" s="267"/>
      <c r="DP35" s="267"/>
      <c r="DQ35" s="267"/>
      <c r="DR35" s="267"/>
      <c r="DS35" s="267"/>
      <c r="DT35" s="267"/>
      <c r="DU35" s="267"/>
      <c r="DV35" s="267"/>
      <c r="DW35" s="267"/>
      <c r="DX35" s="267"/>
      <c r="DY35" s="267"/>
      <c r="DZ35" s="267"/>
      <c r="EA35" s="267"/>
      <c r="EB35" s="267"/>
      <c r="EC35" s="267"/>
      <c r="ED35" s="267"/>
      <c r="EE35" s="267"/>
      <c r="EF35" s="267"/>
      <c r="EG35" s="267"/>
      <c r="EH35" s="267"/>
      <c r="EI35" s="267"/>
      <c r="EJ35" s="267"/>
      <c r="EK35" s="267"/>
      <c r="EL35" s="267"/>
      <c r="EM35" s="267"/>
      <c r="EN35" s="267"/>
      <c r="EO35" s="267"/>
      <c r="EP35" s="267"/>
      <c r="EQ35" s="267"/>
      <c r="ER35" s="267"/>
      <c r="ES35" s="267"/>
      <c r="ET35" s="267"/>
      <c r="EU35" s="267"/>
      <c r="EV35" s="267"/>
      <c r="EW35" s="267"/>
      <c r="EX35" s="267"/>
      <c r="EY35" s="267"/>
      <c r="EZ35" s="267"/>
      <c r="FA35" s="267"/>
      <c r="FB35" s="267"/>
      <c r="FC35" s="267"/>
      <c r="FD35" s="267"/>
      <c r="FE35" s="267"/>
      <c r="FF35" s="267"/>
      <c r="FG35" s="267"/>
      <c r="FH35" s="267"/>
      <c r="FI35" s="267"/>
      <c r="FJ35" s="267"/>
      <c r="FK35" s="267"/>
      <c r="FL35" s="267"/>
      <c r="FM35" s="267"/>
      <c r="FN35" s="267"/>
      <c r="FO35" s="267"/>
      <c r="FP35" s="267"/>
      <c r="FQ35" s="267"/>
      <c r="FR35" s="267"/>
      <c r="FS35" s="267"/>
      <c r="FT35" s="267"/>
      <c r="FU35" s="267"/>
      <c r="FV35" s="267"/>
      <c r="FW35" s="267"/>
      <c r="FX35" s="267"/>
      <c r="FY35" s="267"/>
      <c r="FZ35" s="267"/>
      <c r="GA35" s="267"/>
      <c r="GB35" s="267"/>
      <c r="GC35" s="267"/>
      <c r="GD35" s="267"/>
      <c r="GE35" s="267"/>
      <c r="GF35" s="267"/>
      <c r="GG35" s="267"/>
      <c r="GH35" s="267"/>
      <c r="GI35" s="267"/>
      <c r="GJ35" s="267"/>
      <c r="GK35" s="267"/>
      <c r="GL35" s="267"/>
      <c r="GM35" s="267"/>
      <c r="GN35" s="267"/>
      <c r="GO35" s="267"/>
      <c r="GP35" s="267"/>
      <c r="GQ35" s="267"/>
      <c r="GR35" s="267"/>
      <c r="GS35" s="267"/>
      <c r="GT35" s="267"/>
      <c r="GU35" s="267"/>
      <c r="GV35" s="267"/>
      <c r="GW35" s="267"/>
      <c r="GX35" s="267"/>
      <c r="GY35" s="267"/>
      <c r="GZ35" s="267"/>
      <c r="HA35" s="267"/>
      <c r="HB35" s="267"/>
      <c r="HC35" s="267"/>
      <c r="HD35" s="267"/>
      <c r="HE35" s="267"/>
      <c r="HF35" s="267"/>
      <c r="HG35" s="267"/>
      <c r="HH35" s="267"/>
      <c r="HI35" s="267"/>
      <c r="HJ35" s="267"/>
      <c r="HK35" s="267"/>
      <c r="HL35" s="267"/>
      <c r="HM35" s="267"/>
      <c r="HN35" s="267"/>
      <c r="HO35" s="267"/>
      <c r="HP35" s="267"/>
      <c r="HQ35" s="267"/>
      <c r="HR35" s="267"/>
      <c r="HS35" s="267"/>
      <c r="HT35" s="267"/>
      <c r="HU35" s="267"/>
      <c r="HV35" s="267"/>
      <c r="HW35" s="267"/>
      <c r="HX35" s="267"/>
      <c r="HY35" s="267"/>
      <c r="HZ35" s="267"/>
      <c r="IA35" s="267"/>
      <c r="IB35" s="267"/>
      <c r="IC35" s="267"/>
      <c r="ID35" s="267"/>
      <c r="IE35" s="267"/>
      <c r="IF35" s="267"/>
      <c r="IG35" s="267"/>
      <c r="IH35" s="267"/>
      <c r="II35" s="267"/>
      <c r="IJ35" s="267"/>
      <c r="IK35" s="267"/>
      <c r="IL35" s="267"/>
      <c r="IM35" s="267"/>
      <c r="IN35" s="267"/>
      <c r="IO35" s="267"/>
      <c r="IP35" s="267"/>
      <c r="IQ35" s="267"/>
      <c r="IR35" s="267"/>
      <c r="IS35" s="267"/>
      <c r="IT35" s="267"/>
      <c r="IU35" s="267"/>
      <c r="IV35" s="267"/>
    </row>
    <row r="36" spans="1:256" x14ac:dyDescent="0.25">
      <c r="A36" s="263" t="s">
        <v>742</v>
      </c>
      <c r="B36" s="273" t="s">
        <v>487</v>
      </c>
      <c r="C36" s="276" t="s">
        <v>898</v>
      </c>
      <c r="D36" s="259">
        <v>0</v>
      </c>
      <c r="E36" s="260">
        <f>+INDEX(Sheet1!A:D,MATCH(MapaIII!C36,Sheet1!A:A,0),2)</f>
        <v>2800000</v>
      </c>
      <c r="F36" s="260">
        <f t="shared" si="9"/>
        <v>2800000</v>
      </c>
      <c r="G36" s="266">
        <f t="shared" ref="G36" si="10">F36/$F$9</f>
        <v>6.1443237079715557E-3</v>
      </c>
      <c r="H36" s="107">
        <v>2800000</v>
      </c>
      <c r="I36" s="283"/>
      <c r="J36" s="283"/>
      <c r="K36" s="267"/>
      <c r="L36" s="267" t="e">
        <v>#N/A</v>
      </c>
      <c r="M36" s="267"/>
      <c r="N36" s="268">
        <f t="shared" ref="N36" si="11">+H36-E36</f>
        <v>0</v>
      </c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  <c r="AM36" s="267"/>
      <c r="AN36" s="267"/>
      <c r="AO36" s="267"/>
      <c r="AP36" s="267"/>
      <c r="AQ36" s="267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267"/>
      <c r="BE36" s="267"/>
      <c r="BF36" s="267"/>
      <c r="BG36" s="267"/>
      <c r="BH36" s="267"/>
      <c r="BI36" s="267"/>
      <c r="BJ36" s="267"/>
      <c r="BK36" s="267"/>
      <c r="BL36" s="267"/>
      <c r="BM36" s="267"/>
      <c r="BN36" s="267"/>
      <c r="BO36" s="267"/>
      <c r="BP36" s="267"/>
      <c r="BQ36" s="267"/>
      <c r="BR36" s="267"/>
      <c r="BS36" s="267"/>
      <c r="BT36" s="267"/>
      <c r="BU36" s="267"/>
      <c r="BV36" s="267"/>
      <c r="BW36" s="267"/>
      <c r="BX36" s="267"/>
      <c r="BY36" s="267"/>
      <c r="BZ36" s="267"/>
      <c r="CA36" s="267"/>
      <c r="CB36" s="267"/>
      <c r="CC36" s="267"/>
      <c r="CD36" s="267"/>
      <c r="CE36" s="267"/>
      <c r="CF36" s="267"/>
      <c r="CG36" s="267"/>
      <c r="CH36" s="267"/>
      <c r="CI36" s="267"/>
      <c r="CJ36" s="267"/>
      <c r="CK36" s="267"/>
      <c r="CL36" s="267"/>
      <c r="CM36" s="267"/>
      <c r="CN36" s="267"/>
      <c r="CO36" s="267"/>
      <c r="CP36" s="267"/>
      <c r="CQ36" s="267"/>
      <c r="CR36" s="267"/>
      <c r="CS36" s="267"/>
      <c r="CT36" s="267"/>
      <c r="CU36" s="267"/>
      <c r="CV36" s="267"/>
      <c r="CW36" s="267"/>
      <c r="CX36" s="267"/>
      <c r="CY36" s="267"/>
      <c r="CZ36" s="267"/>
      <c r="DA36" s="267"/>
      <c r="DB36" s="267"/>
      <c r="DC36" s="267"/>
      <c r="DD36" s="267"/>
      <c r="DE36" s="267"/>
      <c r="DF36" s="267"/>
      <c r="DG36" s="267"/>
      <c r="DH36" s="267"/>
      <c r="DI36" s="267"/>
      <c r="DJ36" s="267"/>
      <c r="DK36" s="267"/>
      <c r="DL36" s="267"/>
      <c r="DM36" s="267"/>
      <c r="DN36" s="267"/>
      <c r="DO36" s="267"/>
      <c r="DP36" s="267"/>
      <c r="DQ36" s="267"/>
      <c r="DR36" s="267"/>
      <c r="DS36" s="267"/>
      <c r="DT36" s="267"/>
      <c r="DU36" s="267"/>
      <c r="DV36" s="267"/>
      <c r="DW36" s="267"/>
      <c r="DX36" s="267"/>
      <c r="DY36" s="267"/>
      <c r="DZ36" s="267"/>
      <c r="EA36" s="267"/>
      <c r="EB36" s="267"/>
      <c r="EC36" s="267"/>
      <c r="ED36" s="267"/>
      <c r="EE36" s="267"/>
      <c r="EF36" s="267"/>
      <c r="EG36" s="267"/>
      <c r="EH36" s="267"/>
      <c r="EI36" s="267"/>
      <c r="EJ36" s="267"/>
      <c r="EK36" s="267"/>
      <c r="EL36" s="267"/>
      <c r="EM36" s="267"/>
      <c r="EN36" s="267"/>
      <c r="EO36" s="267"/>
      <c r="EP36" s="267"/>
      <c r="EQ36" s="267"/>
      <c r="ER36" s="267"/>
      <c r="ES36" s="267"/>
      <c r="ET36" s="267"/>
      <c r="EU36" s="267"/>
      <c r="EV36" s="267"/>
      <c r="EW36" s="267"/>
      <c r="EX36" s="267"/>
      <c r="EY36" s="267"/>
      <c r="EZ36" s="267"/>
      <c r="FA36" s="267"/>
      <c r="FB36" s="267"/>
      <c r="FC36" s="267"/>
      <c r="FD36" s="267"/>
      <c r="FE36" s="267"/>
      <c r="FF36" s="267"/>
      <c r="FG36" s="267"/>
      <c r="FH36" s="267"/>
      <c r="FI36" s="267"/>
      <c r="FJ36" s="267"/>
      <c r="FK36" s="267"/>
      <c r="FL36" s="267"/>
      <c r="FM36" s="267"/>
      <c r="FN36" s="267"/>
      <c r="FO36" s="267"/>
      <c r="FP36" s="267"/>
      <c r="FQ36" s="267"/>
      <c r="FR36" s="267"/>
      <c r="FS36" s="267"/>
      <c r="FT36" s="267"/>
      <c r="FU36" s="267"/>
      <c r="FV36" s="267"/>
      <c r="FW36" s="267"/>
      <c r="FX36" s="267"/>
      <c r="FY36" s="267"/>
      <c r="FZ36" s="267"/>
      <c r="GA36" s="267"/>
      <c r="GB36" s="267"/>
      <c r="GC36" s="267"/>
      <c r="GD36" s="267"/>
      <c r="GE36" s="267"/>
      <c r="GF36" s="267"/>
      <c r="GG36" s="267"/>
      <c r="GH36" s="267"/>
      <c r="GI36" s="267"/>
      <c r="GJ36" s="267"/>
      <c r="GK36" s="267"/>
      <c r="GL36" s="267"/>
      <c r="GM36" s="267"/>
      <c r="GN36" s="267"/>
      <c r="GO36" s="267"/>
      <c r="GP36" s="267"/>
      <c r="GQ36" s="267"/>
      <c r="GR36" s="267"/>
      <c r="GS36" s="267"/>
      <c r="GT36" s="267"/>
      <c r="GU36" s="267"/>
      <c r="GV36" s="267"/>
      <c r="GW36" s="267"/>
      <c r="GX36" s="267"/>
      <c r="GY36" s="267"/>
      <c r="GZ36" s="267"/>
      <c r="HA36" s="267"/>
      <c r="HB36" s="267"/>
      <c r="HC36" s="267"/>
      <c r="HD36" s="267"/>
      <c r="HE36" s="267"/>
      <c r="HF36" s="267"/>
      <c r="HG36" s="267"/>
      <c r="HH36" s="267"/>
      <c r="HI36" s="267"/>
      <c r="HJ36" s="267"/>
      <c r="HK36" s="267"/>
      <c r="HL36" s="267"/>
      <c r="HM36" s="267"/>
      <c r="HN36" s="267"/>
      <c r="HO36" s="267"/>
      <c r="HP36" s="267"/>
      <c r="HQ36" s="267"/>
      <c r="HR36" s="267"/>
      <c r="HS36" s="267"/>
      <c r="HT36" s="267"/>
      <c r="HU36" s="267"/>
      <c r="HV36" s="267"/>
      <c r="HW36" s="267"/>
      <c r="HX36" s="267"/>
      <c r="HY36" s="267"/>
      <c r="HZ36" s="267"/>
      <c r="IA36" s="267"/>
      <c r="IB36" s="267"/>
      <c r="IC36" s="267"/>
      <c r="ID36" s="267"/>
      <c r="IE36" s="267"/>
      <c r="IF36" s="267"/>
      <c r="IG36" s="267"/>
      <c r="IH36" s="267"/>
      <c r="II36" s="267"/>
      <c r="IJ36" s="267"/>
      <c r="IK36" s="267"/>
      <c r="IL36" s="267"/>
      <c r="IM36" s="267"/>
      <c r="IN36" s="267"/>
      <c r="IO36" s="267"/>
      <c r="IP36" s="267"/>
      <c r="IQ36" s="267"/>
      <c r="IR36" s="267"/>
      <c r="IS36" s="267"/>
      <c r="IT36" s="267"/>
      <c r="IU36" s="267"/>
      <c r="IV36" s="267"/>
    </row>
    <row r="37" spans="1:256" x14ac:dyDescent="0.25">
      <c r="A37" s="263" t="s">
        <v>742</v>
      </c>
      <c r="B37" s="273" t="s">
        <v>471</v>
      </c>
      <c r="C37" s="276" t="s">
        <v>745</v>
      </c>
      <c r="D37" s="259">
        <v>0</v>
      </c>
      <c r="E37" s="260">
        <f>+INDEX(Sheet1!A:D,MATCH(MapaIII!C37,Sheet1!A:A,0),2)</f>
        <v>1000000</v>
      </c>
      <c r="F37" s="260">
        <f t="shared" si="9"/>
        <v>1000000</v>
      </c>
      <c r="G37" s="266">
        <f t="shared" si="0"/>
        <v>2.1944013242755555E-3</v>
      </c>
      <c r="H37" s="107">
        <v>1000000</v>
      </c>
      <c r="I37" s="283"/>
      <c r="J37" s="283"/>
      <c r="K37" s="267"/>
      <c r="L37" s="267">
        <v>22</v>
      </c>
      <c r="M37" s="267"/>
      <c r="N37" s="268">
        <f t="shared" si="2"/>
        <v>0</v>
      </c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7"/>
      <c r="AP37" s="267"/>
      <c r="AQ37" s="267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7"/>
      <c r="BQ37" s="267"/>
      <c r="BR37" s="267"/>
      <c r="BS37" s="267"/>
      <c r="BT37" s="267"/>
      <c r="BU37" s="267"/>
      <c r="BV37" s="267"/>
      <c r="BW37" s="267"/>
      <c r="BX37" s="267"/>
      <c r="BY37" s="267"/>
      <c r="BZ37" s="267"/>
      <c r="CA37" s="267"/>
      <c r="CB37" s="267"/>
      <c r="CC37" s="267"/>
      <c r="CD37" s="267"/>
      <c r="CE37" s="267"/>
      <c r="CF37" s="267"/>
      <c r="CG37" s="267"/>
      <c r="CH37" s="267"/>
      <c r="CI37" s="267"/>
      <c r="CJ37" s="267"/>
      <c r="CK37" s="267"/>
      <c r="CL37" s="267"/>
      <c r="CM37" s="267"/>
      <c r="CN37" s="267"/>
      <c r="CO37" s="267"/>
      <c r="CP37" s="267"/>
      <c r="CQ37" s="267"/>
      <c r="CR37" s="267"/>
      <c r="CS37" s="267"/>
      <c r="CT37" s="267"/>
      <c r="CU37" s="267"/>
      <c r="CV37" s="267"/>
      <c r="CW37" s="267"/>
      <c r="CX37" s="267"/>
      <c r="CY37" s="267"/>
      <c r="CZ37" s="267"/>
      <c r="DA37" s="267"/>
      <c r="DB37" s="267"/>
      <c r="DC37" s="267"/>
      <c r="DD37" s="267"/>
      <c r="DE37" s="267"/>
      <c r="DF37" s="267"/>
      <c r="DG37" s="267"/>
      <c r="DH37" s="267"/>
      <c r="DI37" s="267"/>
      <c r="DJ37" s="267"/>
      <c r="DK37" s="267"/>
      <c r="DL37" s="267"/>
      <c r="DM37" s="267"/>
      <c r="DN37" s="267"/>
      <c r="DO37" s="267"/>
      <c r="DP37" s="267"/>
      <c r="DQ37" s="267"/>
      <c r="DR37" s="267"/>
      <c r="DS37" s="267"/>
      <c r="DT37" s="267"/>
      <c r="DU37" s="267"/>
      <c r="DV37" s="267"/>
      <c r="DW37" s="267"/>
      <c r="DX37" s="267"/>
      <c r="DY37" s="267"/>
      <c r="DZ37" s="267"/>
      <c r="EA37" s="267"/>
      <c r="EB37" s="267"/>
      <c r="EC37" s="267"/>
      <c r="ED37" s="267"/>
      <c r="EE37" s="267"/>
      <c r="EF37" s="267"/>
      <c r="EG37" s="267"/>
      <c r="EH37" s="267"/>
      <c r="EI37" s="267"/>
      <c r="EJ37" s="267"/>
      <c r="EK37" s="267"/>
      <c r="EL37" s="267"/>
      <c r="EM37" s="267"/>
      <c r="EN37" s="267"/>
      <c r="EO37" s="267"/>
      <c r="EP37" s="267"/>
      <c r="EQ37" s="267"/>
      <c r="ER37" s="267"/>
      <c r="ES37" s="267"/>
      <c r="ET37" s="267"/>
      <c r="EU37" s="267"/>
      <c r="EV37" s="267"/>
      <c r="EW37" s="267"/>
      <c r="EX37" s="267"/>
      <c r="EY37" s="267"/>
      <c r="EZ37" s="267"/>
      <c r="FA37" s="267"/>
      <c r="FB37" s="267"/>
      <c r="FC37" s="267"/>
      <c r="FD37" s="267"/>
      <c r="FE37" s="267"/>
      <c r="FF37" s="267"/>
      <c r="FG37" s="267"/>
      <c r="FH37" s="267"/>
      <c r="FI37" s="267"/>
      <c r="FJ37" s="267"/>
      <c r="FK37" s="267"/>
      <c r="FL37" s="267"/>
      <c r="FM37" s="267"/>
      <c r="FN37" s="267"/>
      <c r="FO37" s="267"/>
      <c r="FP37" s="267"/>
      <c r="FQ37" s="267"/>
      <c r="FR37" s="267"/>
      <c r="FS37" s="267"/>
      <c r="FT37" s="267"/>
      <c r="FU37" s="267"/>
      <c r="FV37" s="267"/>
      <c r="FW37" s="267"/>
      <c r="FX37" s="267"/>
      <c r="FY37" s="267"/>
      <c r="FZ37" s="267"/>
      <c r="GA37" s="267"/>
      <c r="GB37" s="267"/>
      <c r="GC37" s="267"/>
      <c r="GD37" s="267"/>
      <c r="GE37" s="267"/>
      <c r="GF37" s="267"/>
      <c r="GG37" s="267"/>
      <c r="GH37" s="267"/>
      <c r="GI37" s="267"/>
      <c r="GJ37" s="267"/>
      <c r="GK37" s="267"/>
      <c r="GL37" s="267"/>
      <c r="GM37" s="267"/>
      <c r="GN37" s="267"/>
      <c r="GO37" s="267"/>
      <c r="GP37" s="267"/>
      <c r="GQ37" s="267"/>
      <c r="GR37" s="267"/>
      <c r="GS37" s="267"/>
      <c r="GT37" s="267"/>
      <c r="GU37" s="267"/>
      <c r="GV37" s="267"/>
      <c r="GW37" s="267"/>
      <c r="GX37" s="267"/>
      <c r="GY37" s="267"/>
      <c r="GZ37" s="267"/>
      <c r="HA37" s="267"/>
      <c r="HB37" s="267"/>
      <c r="HC37" s="267"/>
      <c r="HD37" s="267"/>
      <c r="HE37" s="267"/>
      <c r="HF37" s="267"/>
      <c r="HG37" s="267"/>
      <c r="HH37" s="267"/>
      <c r="HI37" s="267"/>
      <c r="HJ37" s="267"/>
      <c r="HK37" s="267"/>
      <c r="HL37" s="267"/>
      <c r="HM37" s="267"/>
      <c r="HN37" s="267"/>
      <c r="HO37" s="267"/>
      <c r="HP37" s="267"/>
      <c r="HQ37" s="267"/>
      <c r="HR37" s="267"/>
      <c r="HS37" s="267"/>
      <c r="HT37" s="267"/>
      <c r="HU37" s="267"/>
      <c r="HV37" s="267"/>
      <c r="HW37" s="267"/>
      <c r="HX37" s="267"/>
      <c r="HY37" s="267"/>
      <c r="HZ37" s="267"/>
      <c r="IA37" s="267"/>
      <c r="IB37" s="267"/>
      <c r="IC37" s="267"/>
      <c r="ID37" s="267"/>
      <c r="IE37" s="267"/>
      <c r="IF37" s="267"/>
      <c r="IG37" s="267"/>
      <c r="IH37" s="267"/>
      <c r="II37" s="267"/>
      <c r="IJ37" s="267"/>
      <c r="IK37" s="267"/>
      <c r="IL37" s="267"/>
      <c r="IM37" s="267"/>
      <c r="IN37" s="267"/>
      <c r="IO37" s="267"/>
      <c r="IP37" s="267"/>
      <c r="IQ37" s="267"/>
      <c r="IR37" s="267"/>
      <c r="IS37" s="267"/>
      <c r="IT37" s="267"/>
      <c r="IU37" s="267"/>
      <c r="IV37" s="267"/>
    </row>
    <row r="38" spans="1:256" x14ac:dyDescent="0.25">
      <c r="A38" s="263" t="s">
        <v>742</v>
      </c>
      <c r="B38" s="273" t="s">
        <v>451</v>
      </c>
      <c r="C38" s="276" t="s">
        <v>746</v>
      </c>
      <c r="D38" s="259">
        <v>0</v>
      </c>
      <c r="E38" s="260">
        <f>+INDEX(Sheet1!A:D,MATCH(MapaIII!C38,Sheet1!A:A,0),2)</f>
        <v>15000000</v>
      </c>
      <c r="F38" s="260">
        <f t="shared" si="9"/>
        <v>15000000</v>
      </c>
      <c r="G38" s="266">
        <f t="shared" si="0"/>
        <v>3.2916019864133332E-2</v>
      </c>
      <c r="H38" s="107">
        <v>15000000</v>
      </c>
      <c r="I38" s="270"/>
      <c r="J38" s="270"/>
      <c r="K38" s="267"/>
      <c r="L38" s="267">
        <v>24</v>
      </c>
      <c r="M38" s="267"/>
      <c r="N38" s="268">
        <f t="shared" si="2"/>
        <v>0</v>
      </c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7"/>
      <c r="AN38" s="267"/>
      <c r="AO38" s="267"/>
      <c r="AP38" s="267"/>
      <c r="AQ38" s="267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67"/>
      <c r="BO38" s="267"/>
      <c r="BP38" s="267"/>
      <c r="BQ38" s="267"/>
      <c r="BR38" s="267"/>
      <c r="BS38" s="267"/>
      <c r="BT38" s="267"/>
      <c r="BU38" s="267"/>
      <c r="BV38" s="267"/>
      <c r="BW38" s="267"/>
      <c r="BX38" s="267"/>
      <c r="BY38" s="267"/>
      <c r="BZ38" s="267"/>
      <c r="CA38" s="267"/>
      <c r="CB38" s="267"/>
      <c r="CC38" s="267"/>
      <c r="CD38" s="267"/>
      <c r="CE38" s="267"/>
      <c r="CF38" s="267"/>
      <c r="CG38" s="267"/>
      <c r="CH38" s="267"/>
      <c r="CI38" s="267"/>
      <c r="CJ38" s="267"/>
      <c r="CK38" s="267"/>
      <c r="CL38" s="267"/>
      <c r="CM38" s="267"/>
      <c r="CN38" s="267"/>
      <c r="CO38" s="267"/>
      <c r="CP38" s="267"/>
      <c r="CQ38" s="267"/>
      <c r="CR38" s="267"/>
      <c r="CS38" s="267"/>
      <c r="CT38" s="267"/>
      <c r="CU38" s="267"/>
      <c r="CV38" s="267"/>
      <c r="CW38" s="267"/>
      <c r="CX38" s="267"/>
      <c r="CY38" s="267"/>
      <c r="CZ38" s="267"/>
      <c r="DA38" s="267"/>
      <c r="DB38" s="267"/>
      <c r="DC38" s="267"/>
      <c r="DD38" s="267"/>
      <c r="DE38" s="267"/>
      <c r="DF38" s="267"/>
      <c r="DG38" s="267"/>
      <c r="DH38" s="267"/>
      <c r="DI38" s="267"/>
      <c r="DJ38" s="267"/>
      <c r="DK38" s="267"/>
      <c r="DL38" s="267"/>
      <c r="DM38" s="267"/>
      <c r="DN38" s="267"/>
      <c r="DO38" s="267"/>
      <c r="DP38" s="267"/>
      <c r="DQ38" s="267"/>
      <c r="DR38" s="267"/>
      <c r="DS38" s="267"/>
      <c r="DT38" s="267"/>
      <c r="DU38" s="267"/>
      <c r="DV38" s="267"/>
      <c r="DW38" s="267"/>
      <c r="DX38" s="267"/>
      <c r="DY38" s="267"/>
      <c r="DZ38" s="267"/>
      <c r="EA38" s="267"/>
      <c r="EB38" s="267"/>
      <c r="EC38" s="267"/>
      <c r="ED38" s="267"/>
      <c r="EE38" s="267"/>
      <c r="EF38" s="267"/>
      <c r="EG38" s="267"/>
      <c r="EH38" s="267"/>
      <c r="EI38" s="267"/>
      <c r="EJ38" s="267"/>
      <c r="EK38" s="267"/>
      <c r="EL38" s="267"/>
      <c r="EM38" s="267"/>
      <c r="EN38" s="267"/>
      <c r="EO38" s="267"/>
      <c r="EP38" s="267"/>
      <c r="EQ38" s="267"/>
      <c r="ER38" s="267"/>
      <c r="ES38" s="267"/>
      <c r="ET38" s="267"/>
      <c r="EU38" s="267"/>
      <c r="EV38" s="267"/>
      <c r="EW38" s="267"/>
      <c r="EX38" s="267"/>
      <c r="EY38" s="267"/>
      <c r="EZ38" s="267"/>
      <c r="FA38" s="267"/>
      <c r="FB38" s="267"/>
      <c r="FC38" s="267"/>
      <c r="FD38" s="267"/>
      <c r="FE38" s="267"/>
      <c r="FF38" s="267"/>
      <c r="FG38" s="267"/>
      <c r="FH38" s="267"/>
      <c r="FI38" s="267"/>
      <c r="FJ38" s="267"/>
      <c r="FK38" s="267"/>
      <c r="FL38" s="267"/>
      <c r="FM38" s="267"/>
      <c r="FN38" s="267"/>
      <c r="FO38" s="267"/>
      <c r="FP38" s="267"/>
      <c r="FQ38" s="267"/>
      <c r="FR38" s="267"/>
      <c r="FS38" s="267"/>
      <c r="FT38" s="267"/>
      <c r="FU38" s="267"/>
      <c r="FV38" s="267"/>
      <c r="FW38" s="267"/>
      <c r="FX38" s="267"/>
      <c r="FY38" s="267"/>
      <c r="FZ38" s="267"/>
      <c r="GA38" s="267"/>
      <c r="GB38" s="267"/>
      <c r="GC38" s="267"/>
      <c r="GD38" s="267"/>
      <c r="GE38" s="267"/>
      <c r="GF38" s="267"/>
      <c r="GG38" s="267"/>
      <c r="GH38" s="267"/>
      <c r="GI38" s="267"/>
      <c r="GJ38" s="267"/>
      <c r="GK38" s="267"/>
      <c r="GL38" s="267"/>
      <c r="GM38" s="267"/>
      <c r="GN38" s="267"/>
      <c r="GO38" s="267"/>
      <c r="GP38" s="267"/>
      <c r="GQ38" s="267"/>
      <c r="GR38" s="267"/>
      <c r="GS38" s="267"/>
      <c r="GT38" s="267"/>
      <c r="GU38" s="267"/>
      <c r="GV38" s="267"/>
      <c r="GW38" s="267"/>
      <c r="GX38" s="267"/>
      <c r="GY38" s="267"/>
      <c r="GZ38" s="267"/>
      <c r="HA38" s="267"/>
      <c r="HB38" s="267"/>
      <c r="HC38" s="267"/>
      <c r="HD38" s="267"/>
      <c r="HE38" s="267"/>
      <c r="HF38" s="267"/>
      <c r="HG38" s="267"/>
      <c r="HH38" s="267"/>
      <c r="HI38" s="267"/>
      <c r="HJ38" s="267"/>
      <c r="HK38" s="267"/>
      <c r="HL38" s="267"/>
      <c r="HM38" s="267"/>
      <c r="HN38" s="267"/>
      <c r="HO38" s="267"/>
      <c r="HP38" s="267"/>
      <c r="HQ38" s="267"/>
      <c r="HR38" s="267"/>
      <c r="HS38" s="267"/>
      <c r="HT38" s="267"/>
      <c r="HU38" s="267"/>
      <c r="HV38" s="267"/>
      <c r="HW38" s="267"/>
      <c r="HX38" s="267"/>
      <c r="HY38" s="267"/>
      <c r="HZ38" s="267"/>
      <c r="IA38" s="267"/>
      <c r="IB38" s="267"/>
      <c r="IC38" s="267"/>
      <c r="ID38" s="267"/>
      <c r="IE38" s="267"/>
      <c r="IF38" s="267"/>
      <c r="IG38" s="267"/>
      <c r="IH38" s="267"/>
      <c r="II38" s="267"/>
      <c r="IJ38" s="267"/>
      <c r="IK38" s="267"/>
      <c r="IL38" s="267"/>
      <c r="IM38" s="267"/>
      <c r="IN38" s="267"/>
      <c r="IO38" s="267"/>
      <c r="IP38" s="267"/>
      <c r="IQ38" s="267"/>
      <c r="IR38" s="267"/>
      <c r="IS38" s="267"/>
      <c r="IT38" s="267"/>
      <c r="IU38" s="267"/>
      <c r="IV38" s="267"/>
    </row>
    <row r="39" spans="1:256" x14ac:dyDescent="0.2">
      <c r="A39" s="241" t="s">
        <v>747</v>
      </c>
      <c r="B39" s="242"/>
      <c r="C39" s="243" t="s">
        <v>748</v>
      </c>
      <c r="D39" s="261">
        <f>+SUM(D40:D69)</f>
        <v>0</v>
      </c>
      <c r="E39" s="244">
        <f>+SUM(E40:E69)</f>
        <v>200455000</v>
      </c>
      <c r="F39" s="244">
        <f>D39+E39</f>
        <v>200455000</v>
      </c>
      <c r="G39" s="245">
        <f t="shared" si="0"/>
        <v>0.4398787174576565</v>
      </c>
      <c r="H39" s="267">
        <v>0</v>
      </c>
      <c r="I39" s="270"/>
      <c r="J39" s="270"/>
      <c r="L39" s="267" t="e">
        <v>#N/A</v>
      </c>
      <c r="N39" s="268">
        <f t="shared" si="2"/>
        <v>-200455000</v>
      </c>
    </row>
    <row r="40" spans="1:256" x14ac:dyDescent="0.25">
      <c r="A40" s="263" t="s">
        <v>749</v>
      </c>
      <c r="B40" s="273" t="s">
        <v>466</v>
      </c>
      <c r="C40" s="278" t="s">
        <v>750</v>
      </c>
      <c r="D40" s="259">
        <v>0</v>
      </c>
      <c r="E40" s="260">
        <f>+INDEX(Sheet1!A:D,MATCH(MapaIII!C40,Sheet1!A:A,0),2)</f>
        <v>1500000</v>
      </c>
      <c r="F40" s="260">
        <f t="shared" ref="F40:F71" si="12">D40+E40</f>
        <v>1500000</v>
      </c>
      <c r="G40" s="266">
        <f t="shared" si="0"/>
        <v>3.2916019864133333E-3</v>
      </c>
      <c r="H40" s="107">
        <v>2000000</v>
      </c>
      <c r="I40" s="270"/>
      <c r="J40" s="270"/>
      <c r="K40" s="270"/>
      <c r="L40" s="267">
        <v>26</v>
      </c>
      <c r="M40" s="270"/>
      <c r="N40" s="268">
        <f t="shared" si="2"/>
        <v>500000</v>
      </c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  <c r="AM40" s="270"/>
      <c r="AN40" s="270"/>
      <c r="AO40" s="270"/>
      <c r="AP40" s="270"/>
      <c r="AQ40" s="270"/>
      <c r="AR40" s="270"/>
      <c r="AS40" s="270"/>
      <c r="AT40" s="270"/>
      <c r="AU40" s="270"/>
      <c r="AV40" s="270"/>
      <c r="AW40" s="270"/>
      <c r="AX40" s="270"/>
      <c r="AY40" s="270"/>
      <c r="AZ40" s="270"/>
      <c r="BA40" s="270"/>
      <c r="BB40" s="270"/>
      <c r="BC40" s="270"/>
      <c r="BD40" s="270"/>
      <c r="BE40" s="270"/>
      <c r="BF40" s="270"/>
      <c r="BG40" s="270"/>
      <c r="BH40" s="270"/>
      <c r="BI40" s="270"/>
      <c r="BJ40" s="270"/>
      <c r="BK40" s="270"/>
      <c r="BL40" s="270"/>
      <c r="BM40" s="270"/>
      <c r="BN40" s="270"/>
      <c r="BO40" s="270"/>
      <c r="BP40" s="270"/>
      <c r="BQ40" s="270"/>
      <c r="BR40" s="270"/>
      <c r="BS40" s="270"/>
      <c r="BT40" s="270"/>
      <c r="BU40" s="270"/>
      <c r="BV40" s="270"/>
      <c r="BW40" s="270"/>
      <c r="BX40" s="270"/>
      <c r="BY40" s="270"/>
      <c r="BZ40" s="270"/>
      <c r="CA40" s="270"/>
      <c r="CB40" s="270"/>
      <c r="CC40" s="270"/>
      <c r="CD40" s="270"/>
      <c r="CE40" s="270"/>
      <c r="CF40" s="270"/>
      <c r="CG40" s="270"/>
      <c r="CH40" s="270"/>
      <c r="CI40" s="270"/>
      <c r="CJ40" s="270"/>
      <c r="CK40" s="270"/>
      <c r="CL40" s="270"/>
      <c r="CM40" s="270"/>
      <c r="CN40" s="270"/>
      <c r="CO40" s="270"/>
      <c r="CP40" s="270"/>
      <c r="CQ40" s="270"/>
      <c r="CR40" s="270"/>
      <c r="CS40" s="270"/>
      <c r="CT40" s="270"/>
      <c r="CU40" s="270"/>
      <c r="CV40" s="270"/>
      <c r="CW40" s="270"/>
      <c r="CX40" s="270"/>
      <c r="CY40" s="270"/>
      <c r="CZ40" s="270"/>
      <c r="DA40" s="270"/>
      <c r="DB40" s="270"/>
      <c r="DC40" s="270"/>
      <c r="DD40" s="270"/>
      <c r="DE40" s="270"/>
      <c r="DF40" s="270"/>
      <c r="DG40" s="270"/>
      <c r="DH40" s="270"/>
      <c r="DI40" s="270"/>
      <c r="DJ40" s="270"/>
      <c r="DK40" s="270"/>
      <c r="DL40" s="270"/>
      <c r="DM40" s="270"/>
      <c r="DN40" s="270"/>
      <c r="DO40" s="270"/>
      <c r="DP40" s="270"/>
      <c r="DQ40" s="270"/>
      <c r="DR40" s="270"/>
      <c r="DS40" s="270"/>
      <c r="DT40" s="270"/>
      <c r="DU40" s="270"/>
      <c r="DV40" s="270"/>
      <c r="DW40" s="270"/>
      <c r="DX40" s="270"/>
      <c r="DY40" s="270"/>
      <c r="DZ40" s="270"/>
      <c r="EA40" s="270"/>
      <c r="EB40" s="270"/>
      <c r="EC40" s="270"/>
      <c r="ED40" s="270"/>
      <c r="EE40" s="270"/>
      <c r="EF40" s="270"/>
      <c r="EG40" s="270"/>
      <c r="EH40" s="270"/>
      <c r="EI40" s="270"/>
      <c r="EJ40" s="270"/>
      <c r="EK40" s="270"/>
      <c r="EL40" s="270"/>
      <c r="EM40" s="270"/>
      <c r="EN40" s="270"/>
      <c r="EO40" s="270"/>
      <c r="EP40" s="270"/>
      <c r="EQ40" s="270"/>
      <c r="ER40" s="270"/>
      <c r="ES40" s="270"/>
      <c r="ET40" s="270"/>
      <c r="EU40" s="270"/>
      <c r="EV40" s="270"/>
      <c r="EW40" s="270"/>
      <c r="EX40" s="270"/>
      <c r="EY40" s="270"/>
      <c r="EZ40" s="270"/>
      <c r="FA40" s="270"/>
      <c r="FB40" s="270"/>
      <c r="FC40" s="270"/>
      <c r="FD40" s="270"/>
      <c r="FE40" s="270"/>
      <c r="FF40" s="270"/>
      <c r="FG40" s="270"/>
      <c r="FH40" s="270"/>
      <c r="FI40" s="270"/>
      <c r="FJ40" s="270"/>
      <c r="FK40" s="270"/>
      <c r="FL40" s="270"/>
      <c r="FM40" s="270"/>
      <c r="FN40" s="270"/>
      <c r="FO40" s="270"/>
      <c r="FP40" s="270"/>
      <c r="FQ40" s="270"/>
      <c r="FR40" s="270"/>
      <c r="FS40" s="270"/>
      <c r="FT40" s="270"/>
      <c r="FU40" s="270"/>
      <c r="FV40" s="270"/>
      <c r="FW40" s="270"/>
      <c r="FX40" s="270"/>
      <c r="FY40" s="270"/>
      <c r="FZ40" s="270"/>
      <c r="GA40" s="270"/>
      <c r="GB40" s="270"/>
      <c r="GC40" s="270"/>
      <c r="GD40" s="270"/>
      <c r="GE40" s="270"/>
      <c r="GF40" s="270"/>
      <c r="GG40" s="270"/>
      <c r="GH40" s="270"/>
      <c r="GI40" s="270"/>
      <c r="GJ40" s="270"/>
      <c r="GK40" s="270"/>
      <c r="GL40" s="270"/>
      <c r="GM40" s="270"/>
      <c r="GN40" s="270"/>
      <c r="GO40" s="270"/>
      <c r="GP40" s="270"/>
      <c r="GQ40" s="270"/>
      <c r="GR40" s="270"/>
      <c r="GS40" s="270"/>
      <c r="GT40" s="270"/>
      <c r="GU40" s="270"/>
      <c r="GV40" s="270"/>
      <c r="GW40" s="270"/>
      <c r="GX40" s="270"/>
      <c r="GY40" s="270"/>
      <c r="GZ40" s="270"/>
      <c r="HA40" s="270"/>
      <c r="HB40" s="270"/>
      <c r="HC40" s="270"/>
      <c r="HD40" s="270"/>
      <c r="HE40" s="270"/>
      <c r="HF40" s="270"/>
      <c r="HG40" s="270"/>
      <c r="HH40" s="270"/>
      <c r="HI40" s="270"/>
      <c r="HJ40" s="270"/>
      <c r="HK40" s="270"/>
      <c r="HL40" s="270"/>
      <c r="HM40" s="270"/>
      <c r="HN40" s="270"/>
      <c r="HO40" s="270"/>
      <c r="HP40" s="270"/>
      <c r="HQ40" s="270"/>
      <c r="HR40" s="270"/>
      <c r="HS40" s="270"/>
      <c r="HT40" s="270"/>
      <c r="HU40" s="270"/>
      <c r="HV40" s="270"/>
      <c r="HW40" s="270"/>
      <c r="HX40" s="270"/>
      <c r="HY40" s="270"/>
      <c r="HZ40" s="270"/>
      <c r="IA40" s="270"/>
      <c r="IB40" s="270"/>
      <c r="IC40" s="270"/>
      <c r="ID40" s="270"/>
      <c r="IE40" s="270"/>
      <c r="IF40" s="270"/>
      <c r="IG40" s="270"/>
      <c r="IH40" s="270"/>
      <c r="II40" s="270"/>
      <c r="IJ40" s="270"/>
      <c r="IK40" s="270"/>
      <c r="IL40" s="270"/>
      <c r="IM40" s="270"/>
      <c r="IN40" s="270"/>
      <c r="IO40" s="270"/>
      <c r="IP40" s="270"/>
      <c r="IQ40" s="270"/>
      <c r="IR40" s="270"/>
      <c r="IS40" s="270"/>
      <c r="IT40" s="270"/>
      <c r="IU40" s="270"/>
      <c r="IV40" s="270"/>
    </row>
    <row r="41" spans="1:256" ht="18.75" customHeight="1" x14ac:dyDescent="0.25">
      <c r="A41" s="263" t="s">
        <v>749</v>
      </c>
      <c r="B41" s="273" t="s">
        <v>471</v>
      </c>
      <c r="C41" s="278" t="s">
        <v>1031</v>
      </c>
      <c r="D41" s="259">
        <v>0</v>
      </c>
      <c r="E41" s="260">
        <f>+INDEX(Sheet1!A:D,MATCH(MapaIII!C41,Sheet1!A:A,0),2)</f>
        <v>1500000</v>
      </c>
      <c r="F41" s="260">
        <f t="shared" si="12"/>
        <v>1500000</v>
      </c>
      <c r="G41" s="266">
        <f t="shared" si="0"/>
        <v>3.2916019864133333E-3</v>
      </c>
      <c r="H41" s="107" t="e">
        <v>#N/A</v>
      </c>
      <c r="I41" s="270"/>
      <c r="J41" s="270"/>
      <c r="K41" s="270"/>
      <c r="L41" s="267" t="e">
        <v>#N/A</v>
      </c>
      <c r="M41" s="270"/>
      <c r="N41" s="268" t="e">
        <f t="shared" si="2"/>
        <v>#N/A</v>
      </c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70"/>
      <c r="AU41" s="270"/>
      <c r="AV41" s="270"/>
      <c r="AW41" s="270"/>
      <c r="AX41" s="270"/>
      <c r="AY41" s="270"/>
      <c r="AZ41" s="270"/>
      <c r="BA41" s="270"/>
      <c r="BB41" s="270"/>
      <c r="BC41" s="270"/>
      <c r="BD41" s="270"/>
      <c r="BE41" s="270"/>
      <c r="BF41" s="270"/>
      <c r="BG41" s="270"/>
      <c r="BH41" s="270"/>
      <c r="BI41" s="270"/>
      <c r="BJ41" s="270"/>
      <c r="BK41" s="270"/>
      <c r="BL41" s="270"/>
      <c r="BM41" s="270"/>
      <c r="BN41" s="270"/>
      <c r="BO41" s="270"/>
      <c r="BP41" s="270"/>
      <c r="BQ41" s="270"/>
      <c r="BR41" s="270"/>
      <c r="BS41" s="270"/>
      <c r="BT41" s="270"/>
      <c r="BU41" s="270"/>
      <c r="BV41" s="270"/>
      <c r="BW41" s="270"/>
      <c r="BX41" s="270"/>
      <c r="BY41" s="270"/>
      <c r="BZ41" s="270"/>
      <c r="CA41" s="270"/>
      <c r="CB41" s="270"/>
      <c r="CC41" s="270"/>
      <c r="CD41" s="270"/>
      <c r="CE41" s="270"/>
      <c r="CF41" s="270"/>
      <c r="CG41" s="270"/>
      <c r="CH41" s="270"/>
      <c r="CI41" s="270"/>
      <c r="CJ41" s="270"/>
      <c r="CK41" s="270"/>
      <c r="CL41" s="270"/>
      <c r="CM41" s="270"/>
      <c r="CN41" s="270"/>
      <c r="CO41" s="270"/>
      <c r="CP41" s="270"/>
      <c r="CQ41" s="270"/>
      <c r="CR41" s="270"/>
      <c r="CS41" s="270"/>
      <c r="CT41" s="270"/>
      <c r="CU41" s="270"/>
      <c r="CV41" s="270"/>
      <c r="CW41" s="270"/>
      <c r="CX41" s="270"/>
      <c r="CY41" s="270"/>
      <c r="CZ41" s="270"/>
      <c r="DA41" s="270"/>
      <c r="DB41" s="270"/>
      <c r="DC41" s="270"/>
      <c r="DD41" s="270"/>
      <c r="DE41" s="270"/>
      <c r="DF41" s="270"/>
      <c r="DG41" s="270"/>
      <c r="DH41" s="270"/>
      <c r="DI41" s="270"/>
      <c r="DJ41" s="270"/>
      <c r="DK41" s="270"/>
      <c r="DL41" s="270"/>
      <c r="DM41" s="270"/>
      <c r="DN41" s="270"/>
      <c r="DO41" s="270"/>
      <c r="DP41" s="270"/>
      <c r="DQ41" s="270"/>
      <c r="DR41" s="270"/>
      <c r="DS41" s="270"/>
      <c r="DT41" s="270"/>
      <c r="DU41" s="270"/>
      <c r="DV41" s="270"/>
      <c r="DW41" s="270"/>
      <c r="DX41" s="270"/>
      <c r="DY41" s="270"/>
      <c r="DZ41" s="270"/>
      <c r="EA41" s="270"/>
      <c r="EB41" s="270"/>
      <c r="EC41" s="270"/>
      <c r="ED41" s="270"/>
      <c r="EE41" s="270"/>
      <c r="EF41" s="270"/>
      <c r="EG41" s="270"/>
      <c r="EH41" s="270"/>
      <c r="EI41" s="270"/>
      <c r="EJ41" s="270"/>
      <c r="EK41" s="270"/>
      <c r="EL41" s="270"/>
      <c r="EM41" s="270"/>
      <c r="EN41" s="270"/>
      <c r="EO41" s="270"/>
      <c r="EP41" s="270"/>
      <c r="EQ41" s="270"/>
      <c r="ER41" s="270"/>
      <c r="ES41" s="270"/>
      <c r="ET41" s="270"/>
      <c r="EU41" s="270"/>
      <c r="EV41" s="270"/>
      <c r="EW41" s="270"/>
      <c r="EX41" s="270"/>
      <c r="EY41" s="270"/>
      <c r="EZ41" s="270"/>
      <c r="FA41" s="270"/>
      <c r="FB41" s="270"/>
      <c r="FC41" s="270"/>
      <c r="FD41" s="270"/>
      <c r="FE41" s="270"/>
      <c r="FF41" s="270"/>
      <c r="FG41" s="270"/>
      <c r="FH41" s="270"/>
      <c r="FI41" s="270"/>
      <c r="FJ41" s="270"/>
      <c r="FK41" s="270"/>
      <c r="FL41" s="270"/>
      <c r="FM41" s="270"/>
      <c r="FN41" s="270"/>
      <c r="FO41" s="270"/>
      <c r="FP41" s="270"/>
      <c r="FQ41" s="270"/>
      <c r="FR41" s="270"/>
      <c r="FS41" s="270"/>
      <c r="FT41" s="270"/>
      <c r="FU41" s="270"/>
      <c r="FV41" s="270"/>
      <c r="FW41" s="270"/>
      <c r="FX41" s="270"/>
      <c r="FY41" s="270"/>
      <c r="FZ41" s="270"/>
      <c r="GA41" s="270"/>
      <c r="GB41" s="270"/>
      <c r="GC41" s="270"/>
      <c r="GD41" s="270"/>
      <c r="GE41" s="270"/>
      <c r="GF41" s="270"/>
      <c r="GG41" s="270"/>
      <c r="GH41" s="270"/>
      <c r="GI41" s="270"/>
      <c r="GJ41" s="270"/>
      <c r="GK41" s="270"/>
      <c r="GL41" s="270"/>
      <c r="GM41" s="270"/>
      <c r="GN41" s="270"/>
      <c r="GO41" s="270"/>
      <c r="GP41" s="270"/>
      <c r="GQ41" s="270"/>
      <c r="GR41" s="270"/>
      <c r="GS41" s="270"/>
      <c r="GT41" s="270"/>
      <c r="GU41" s="270"/>
      <c r="GV41" s="270"/>
      <c r="GW41" s="270"/>
      <c r="GX41" s="270"/>
      <c r="GY41" s="270"/>
      <c r="GZ41" s="270"/>
      <c r="HA41" s="270"/>
      <c r="HB41" s="270"/>
      <c r="HC41" s="270"/>
      <c r="HD41" s="270"/>
      <c r="HE41" s="270"/>
      <c r="HF41" s="270"/>
      <c r="HG41" s="270"/>
      <c r="HH41" s="270"/>
      <c r="HI41" s="270"/>
      <c r="HJ41" s="270"/>
      <c r="HK41" s="270"/>
      <c r="HL41" s="270"/>
      <c r="HM41" s="270"/>
      <c r="HN41" s="270"/>
      <c r="HO41" s="270"/>
      <c r="HP41" s="270"/>
      <c r="HQ41" s="270"/>
      <c r="HR41" s="270"/>
      <c r="HS41" s="270"/>
      <c r="HT41" s="270"/>
      <c r="HU41" s="270"/>
      <c r="HV41" s="270"/>
      <c r="HW41" s="270"/>
      <c r="HX41" s="270"/>
      <c r="HY41" s="270"/>
      <c r="HZ41" s="270"/>
      <c r="IA41" s="270"/>
      <c r="IB41" s="270"/>
      <c r="IC41" s="270"/>
      <c r="ID41" s="270"/>
      <c r="IE41" s="270"/>
      <c r="IF41" s="270"/>
      <c r="IG41" s="270"/>
      <c r="IH41" s="270"/>
      <c r="II41" s="270"/>
      <c r="IJ41" s="270"/>
      <c r="IK41" s="270"/>
      <c r="IL41" s="270"/>
      <c r="IM41" s="270"/>
      <c r="IN41" s="270"/>
      <c r="IO41" s="270"/>
      <c r="IP41" s="270"/>
      <c r="IQ41" s="270"/>
      <c r="IR41" s="270"/>
      <c r="IS41" s="270"/>
      <c r="IT41" s="270"/>
      <c r="IU41" s="270"/>
      <c r="IV41" s="270"/>
    </row>
    <row r="42" spans="1:256" ht="18.75" customHeight="1" x14ac:dyDescent="0.25">
      <c r="A42" s="263" t="s">
        <v>749</v>
      </c>
      <c r="B42" s="273" t="s">
        <v>471</v>
      </c>
      <c r="C42" s="278" t="s">
        <v>866</v>
      </c>
      <c r="D42" s="259"/>
      <c r="E42" s="260">
        <f>+INDEX(Sheet1!A:D,MATCH(MapaIII!C42,Sheet1!A:A,0),2)</f>
        <v>3205000</v>
      </c>
      <c r="F42" s="260">
        <f t="shared" ref="F42:F57" si="13">D42+E42</f>
        <v>3205000</v>
      </c>
      <c r="G42" s="266">
        <f t="shared" ref="G42:G57" si="14">F42/$F$9</f>
        <v>7.033056244303156E-3</v>
      </c>
      <c r="H42" s="107"/>
      <c r="I42" s="270"/>
      <c r="J42" s="270"/>
      <c r="K42" s="270"/>
      <c r="L42" s="267"/>
      <c r="M42" s="270"/>
      <c r="N42" s="268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70"/>
      <c r="AS42" s="270"/>
      <c r="AT42" s="270"/>
      <c r="AU42" s="270"/>
      <c r="AV42" s="270"/>
      <c r="AW42" s="270"/>
      <c r="AX42" s="270"/>
      <c r="AY42" s="270"/>
      <c r="AZ42" s="270"/>
      <c r="BA42" s="270"/>
      <c r="BB42" s="270"/>
      <c r="BC42" s="270"/>
      <c r="BD42" s="270"/>
      <c r="BE42" s="270"/>
      <c r="BF42" s="270"/>
      <c r="BG42" s="270"/>
      <c r="BH42" s="270"/>
      <c r="BI42" s="270"/>
      <c r="BJ42" s="270"/>
      <c r="BK42" s="270"/>
      <c r="BL42" s="270"/>
      <c r="BM42" s="270"/>
      <c r="BN42" s="270"/>
      <c r="BO42" s="270"/>
      <c r="BP42" s="270"/>
      <c r="BQ42" s="270"/>
      <c r="BR42" s="270"/>
      <c r="BS42" s="270"/>
      <c r="BT42" s="270"/>
      <c r="BU42" s="270"/>
      <c r="BV42" s="270"/>
      <c r="BW42" s="270"/>
      <c r="BX42" s="270"/>
      <c r="BY42" s="270"/>
      <c r="BZ42" s="270"/>
      <c r="CA42" s="270"/>
      <c r="CB42" s="270"/>
      <c r="CC42" s="270"/>
      <c r="CD42" s="270"/>
      <c r="CE42" s="270"/>
      <c r="CF42" s="270"/>
      <c r="CG42" s="270"/>
      <c r="CH42" s="270"/>
      <c r="CI42" s="270"/>
      <c r="CJ42" s="270"/>
      <c r="CK42" s="270"/>
      <c r="CL42" s="270"/>
      <c r="CM42" s="270"/>
      <c r="CN42" s="270"/>
      <c r="CO42" s="270"/>
      <c r="CP42" s="270"/>
      <c r="CQ42" s="270"/>
      <c r="CR42" s="270"/>
      <c r="CS42" s="270"/>
      <c r="CT42" s="270"/>
      <c r="CU42" s="270"/>
      <c r="CV42" s="270"/>
      <c r="CW42" s="270"/>
      <c r="CX42" s="270"/>
      <c r="CY42" s="270"/>
      <c r="CZ42" s="270"/>
      <c r="DA42" s="270"/>
      <c r="DB42" s="270"/>
      <c r="DC42" s="270"/>
      <c r="DD42" s="270"/>
      <c r="DE42" s="270"/>
      <c r="DF42" s="270"/>
      <c r="DG42" s="270"/>
      <c r="DH42" s="270"/>
      <c r="DI42" s="270"/>
      <c r="DJ42" s="270"/>
      <c r="DK42" s="270"/>
      <c r="DL42" s="270"/>
      <c r="DM42" s="270"/>
      <c r="DN42" s="270"/>
      <c r="DO42" s="270"/>
      <c r="DP42" s="270"/>
      <c r="DQ42" s="270"/>
      <c r="DR42" s="270"/>
      <c r="DS42" s="270"/>
      <c r="DT42" s="270"/>
      <c r="DU42" s="270"/>
      <c r="DV42" s="270"/>
      <c r="DW42" s="270"/>
      <c r="DX42" s="270"/>
      <c r="DY42" s="270"/>
      <c r="DZ42" s="270"/>
      <c r="EA42" s="270"/>
      <c r="EB42" s="270"/>
      <c r="EC42" s="270"/>
      <c r="ED42" s="270"/>
      <c r="EE42" s="270"/>
      <c r="EF42" s="270"/>
      <c r="EG42" s="270"/>
      <c r="EH42" s="270"/>
      <c r="EI42" s="270"/>
      <c r="EJ42" s="270"/>
      <c r="EK42" s="270"/>
      <c r="EL42" s="270"/>
      <c r="EM42" s="270"/>
      <c r="EN42" s="270"/>
      <c r="EO42" s="270"/>
      <c r="EP42" s="270"/>
      <c r="EQ42" s="270"/>
      <c r="ER42" s="270"/>
      <c r="ES42" s="270"/>
      <c r="ET42" s="270"/>
      <c r="EU42" s="270"/>
      <c r="EV42" s="270"/>
      <c r="EW42" s="270"/>
      <c r="EX42" s="270"/>
      <c r="EY42" s="270"/>
      <c r="EZ42" s="270"/>
      <c r="FA42" s="270"/>
      <c r="FB42" s="270"/>
      <c r="FC42" s="270"/>
      <c r="FD42" s="270"/>
      <c r="FE42" s="270"/>
      <c r="FF42" s="270"/>
      <c r="FG42" s="270"/>
      <c r="FH42" s="270"/>
      <c r="FI42" s="270"/>
      <c r="FJ42" s="270"/>
      <c r="FK42" s="270"/>
      <c r="FL42" s="270"/>
      <c r="FM42" s="270"/>
      <c r="FN42" s="270"/>
      <c r="FO42" s="270"/>
      <c r="FP42" s="270"/>
      <c r="FQ42" s="270"/>
      <c r="FR42" s="270"/>
      <c r="FS42" s="270"/>
      <c r="FT42" s="270"/>
      <c r="FU42" s="270"/>
      <c r="FV42" s="270"/>
      <c r="FW42" s="270"/>
      <c r="FX42" s="270"/>
      <c r="FY42" s="270"/>
      <c r="FZ42" s="270"/>
      <c r="GA42" s="270"/>
      <c r="GB42" s="270"/>
      <c r="GC42" s="270"/>
      <c r="GD42" s="270"/>
      <c r="GE42" s="270"/>
      <c r="GF42" s="270"/>
      <c r="GG42" s="270"/>
      <c r="GH42" s="270"/>
      <c r="GI42" s="270"/>
      <c r="GJ42" s="270"/>
      <c r="GK42" s="270"/>
      <c r="GL42" s="270"/>
      <c r="GM42" s="270"/>
      <c r="GN42" s="270"/>
      <c r="GO42" s="270"/>
      <c r="GP42" s="270"/>
      <c r="GQ42" s="270"/>
      <c r="GR42" s="270"/>
      <c r="GS42" s="270"/>
      <c r="GT42" s="270"/>
      <c r="GU42" s="270"/>
      <c r="GV42" s="270"/>
      <c r="GW42" s="270"/>
      <c r="GX42" s="270"/>
      <c r="GY42" s="270"/>
      <c r="GZ42" s="270"/>
      <c r="HA42" s="270"/>
      <c r="HB42" s="270"/>
      <c r="HC42" s="270"/>
      <c r="HD42" s="270"/>
      <c r="HE42" s="270"/>
      <c r="HF42" s="270"/>
      <c r="HG42" s="270"/>
      <c r="HH42" s="270"/>
      <c r="HI42" s="270"/>
      <c r="HJ42" s="270"/>
      <c r="HK42" s="270"/>
      <c r="HL42" s="270"/>
      <c r="HM42" s="270"/>
      <c r="HN42" s="270"/>
      <c r="HO42" s="270"/>
      <c r="HP42" s="270"/>
      <c r="HQ42" s="270"/>
      <c r="HR42" s="270"/>
      <c r="HS42" s="270"/>
      <c r="HT42" s="270"/>
      <c r="HU42" s="270"/>
      <c r="HV42" s="270"/>
      <c r="HW42" s="270"/>
      <c r="HX42" s="270"/>
      <c r="HY42" s="270"/>
      <c r="HZ42" s="270"/>
      <c r="IA42" s="270"/>
      <c r="IB42" s="270"/>
      <c r="IC42" s="270"/>
      <c r="ID42" s="270"/>
      <c r="IE42" s="270"/>
      <c r="IF42" s="270"/>
      <c r="IG42" s="270"/>
      <c r="IH42" s="270"/>
      <c r="II42" s="270"/>
      <c r="IJ42" s="270"/>
      <c r="IK42" s="270"/>
      <c r="IL42" s="270"/>
      <c r="IM42" s="270"/>
      <c r="IN42" s="270"/>
      <c r="IO42" s="270"/>
      <c r="IP42" s="270"/>
      <c r="IQ42" s="270"/>
      <c r="IR42" s="270"/>
      <c r="IS42" s="270"/>
      <c r="IT42" s="270"/>
      <c r="IU42" s="270"/>
      <c r="IV42" s="270"/>
    </row>
    <row r="43" spans="1:256" ht="18.75" customHeight="1" x14ac:dyDescent="0.25">
      <c r="A43" s="263" t="s">
        <v>749</v>
      </c>
      <c r="B43" s="273" t="s">
        <v>471</v>
      </c>
      <c r="C43" s="278" t="s">
        <v>1027</v>
      </c>
      <c r="D43" s="259"/>
      <c r="E43" s="260">
        <f>+INDEX(Sheet1!A:D,MATCH(MapaIII!C43,Sheet1!A:A,0),2)</f>
        <v>2000000</v>
      </c>
      <c r="F43" s="260">
        <f t="shared" si="13"/>
        <v>2000000</v>
      </c>
      <c r="G43" s="266">
        <f t="shared" si="14"/>
        <v>4.3888026485511111E-3</v>
      </c>
      <c r="H43" s="107"/>
      <c r="I43" s="270"/>
      <c r="J43" s="270"/>
      <c r="K43" s="270"/>
      <c r="L43" s="267"/>
      <c r="M43" s="270"/>
      <c r="N43" s="268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270"/>
      <c r="BI43" s="270"/>
      <c r="BJ43" s="270"/>
      <c r="BK43" s="270"/>
      <c r="BL43" s="270"/>
      <c r="BM43" s="270"/>
      <c r="BN43" s="270"/>
      <c r="BO43" s="270"/>
      <c r="BP43" s="270"/>
      <c r="BQ43" s="270"/>
      <c r="BR43" s="270"/>
      <c r="BS43" s="270"/>
      <c r="BT43" s="270"/>
      <c r="BU43" s="270"/>
      <c r="BV43" s="270"/>
      <c r="BW43" s="270"/>
      <c r="BX43" s="270"/>
      <c r="BY43" s="270"/>
      <c r="BZ43" s="270"/>
      <c r="CA43" s="270"/>
      <c r="CB43" s="270"/>
      <c r="CC43" s="270"/>
      <c r="CD43" s="270"/>
      <c r="CE43" s="270"/>
      <c r="CF43" s="270"/>
      <c r="CG43" s="270"/>
      <c r="CH43" s="270"/>
      <c r="CI43" s="270"/>
      <c r="CJ43" s="270"/>
      <c r="CK43" s="270"/>
      <c r="CL43" s="270"/>
      <c r="CM43" s="270"/>
      <c r="CN43" s="270"/>
      <c r="CO43" s="270"/>
      <c r="CP43" s="270"/>
      <c r="CQ43" s="270"/>
      <c r="CR43" s="270"/>
      <c r="CS43" s="270"/>
      <c r="CT43" s="270"/>
      <c r="CU43" s="270"/>
      <c r="CV43" s="270"/>
      <c r="CW43" s="270"/>
      <c r="CX43" s="270"/>
      <c r="CY43" s="270"/>
      <c r="CZ43" s="270"/>
      <c r="DA43" s="270"/>
      <c r="DB43" s="270"/>
      <c r="DC43" s="270"/>
      <c r="DD43" s="270"/>
      <c r="DE43" s="270"/>
      <c r="DF43" s="270"/>
      <c r="DG43" s="270"/>
      <c r="DH43" s="270"/>
      <c r="DI43" s="270"/>
      <c r="DJ43" s="270"/>
      <c r="DK43" s="270"/>
      <c r="DL43" s="270"/>
      <c r="DM43" s="270"/>
      <c r="DN43" s="270"/>
      <c r="DO43" s="270"/>
      <c r="DP43" s="270"/>
      <c r="DQ43" s="270"/>
      <c r="DR43" s="270"/>
      <c r="DS43" s="270"/>
      <c r="DT43" s="270"/>
      <c r="DU43" s="270"/>
      <c r="DV43" s="270"/>
      <c r="DW43" s="270"/>
      <c r="DX43" s="270"/>
      <c r="DY43" s="270"/>
      <c r="DZ43" s="270"/>
      <c r="EA43" s="270"/>
      <c r="EB43" s="270"/>
      <c r="EC43" s="270"/>
      <c r="ED43" s="270"/>
      <c r="EE43" s="270"/>
      <c r="EF43" s="270"/>
      <c r="EG43" s="270"/>
      <c r="EH43" s="270"/>
      <c r="EI43" s="270"/>
      <c r="EJ43" s="270"/>
      <c r="EK43" s="270"/>
      <c r="EL43" s="270"/>
      <c r="EM43" s="270"/>
      <c r="EN43" s="270"/>
      <c r="EO43" s="270"/>
      <c r="EP43" s="270"/>
      <c r="EQ43" s="270"/>
      <c r="ER43" s="270"/>
      <c r="ES43" s="270"/>
      <c r="ET43" s="270"/>
      <c r="EU43" s="270"/>
      <c r="EV43" s="270"/>
      <c r="EW43" s="270"/>
      <c r="EX43" s="270"/>
      <c r="EY43" s="270"/>
      <c r="EZ43" s="270"/>
      <c r="FA43" s="270"/>
      <c r="FB43" s="270"/>
      <c r="FC43" s="270"/>
      <c r="FD43" s="270"/>
      <c r="FE43" s="270"/>
      <c r="FF43" s="270"/>
      <c r="FG43" s="270"/>
      <c r="FH43" s="270"/>
      <c r="FI43" s="270"/>
      <c r="FJ43" s="270"/>
      <c r="FK43" s="270"/>
      <c r="FL43" s="270"/>
      <c r="FM43" s="270"/>
      <c r="FN43" s="270"/>
      <c r="FO43" s="270"/>
      <c r="FP43" s="270"/>
      <c r="FQ43" s="270"/>
      <c r="FR43" s="270"/>
      <c r="FS43" s="270"/>
      <c r="FT43" s="270"/>
      <c r="FU43" s="270"/>
      <c r="FV43" s="270"/>
      <c r="FW43" s="270"/>
      <c r="FX43" s="270"/>
      <c r="FY43" s="270"/>
      <c r="FZ43" s="270"/>
      <c r="GA43" s="270"/>
      <c r="GB43" s="270"/>
      <c r="GC43" s="270"/>
      <c r="GD43" s="270"/>
      <c r="GE43" s="270"/>
      <c r="GF43" s="270"/>
      <c r="GG43" s="270"/>
      <c r="GH43" s="270"/>
      <c r="GI43" s="270"/>
      <c r="GJ43" s="270"/>
      <c r="GK43" s="270"/>
      <c r="GL43" s="270"/>
      <c r="GM43" s="270"/>
      <c r="GN43" s="270"/>
      <c r="GO43" s="270"/>
      <c r="GP43" s="270"/>
      <c r="GQ43" s="270"/>
      <c r="GR43" s="270"/>
      <c r="GS43" s="270"/>
      <c r="GT43" s="270"/>
      <c r="GU43" s="270"/>
      <c r="GV43" s="270"/>
      <c r="GW43" s="270"/>
      <c r="GX43" s="270"/>
      <c r="GY43" s="270"/>
      <c r="GZ43" s="270"/>
      <c r="HA43" s="270"/>
      <c r="HB43" s="270"/>
      <c r="HC43" s="270"/>
      <c r="HD43" s="270"/>
      <c r="HE43" s="270"/>
      <c r="HF43" s="270"/>
      <c r="HG43" s="270"/>
      <c r="HH43" s="270"/>
      <c r="HI43" s="270"/>
      <c r="HJ43" s="270"/>
      <c r="HK43" s="270"/>
      <c r="HL43" s="270"/>
      <c r="HM43" s="270"/>
      <c r="HN43" s="270"/>
      <c r="HO43" s="270"/>
      <c r="HP43" s="270"/>
      <c r="HQ43" s="270"/>
      <c r="HR43" s="270"/>
      <c r="HS43" s="270"/>
      <c r="HT43" s="270"/>
      <c r="HU43" s="270"/>
      <c r="HV43" s="270"/>
      <c r="HW43" s="270"/>
      <c r="HX43" s="270"/>
      <c r="HY43" s="270"/>
      <c r="HZ43" s="270"/>
      <c r="IA43" s="270"/>
      <c r="IB43" s="270"/>
      <c r="IC43" s="270"/>
      <c r="ID43" s="270"/>
      <c r="IE43" s="270"/>
      <c r="IF43" s="270"/>
      <c r="IG43" s="270"/>
      <c r="IH43" s="270"/>
      <c r="II43" s="270"/>
      <c r="IJ43" s="270"/>
      <c r="IK43" s="270"/>
      <c r="IL43" s="270"/>
      <c r="IM43" s="270"/>
      <c r="IN43" s="270"/>
      <c r="IO43" s="270"/>
      <c r="IP43" s="270"/>
      <c r="IQ43" s="270"/>
      <c r="IR43" s="270"/>
      <c r="IS43" s="270"/>
      <c r="IT43" s="270"/>
      <c r="IU43" s="270"/>
      <c r="IV43" s="270"/>
    </row>
    <row r="44" spans="1:256" ht="18.75" customHeight="1" x14ac:dyDescent="0.25">
      <c r="A44" s="263" t="s">
        <v>749</v>
      </c>
      <c r="B44" s="273" t="s">
        <v>471</v>
      </c>
      <c r="C44" s="278" t="s">
        <v>892</v>
      </c>
      <c r="D44" s="259"/>
      <c r="E44" s="260">
        <f>+INDEX(Sheet1!A:D,MATCH(MapaIII!C44,Sheet1!A:A,0),2)</f>
        <v>2500000</v>
      </c>
      <c r="F44" s="260">
        <f t="shared" si="13"/>
        <v>2500000</v>
      </c>
      <c r="G44" s="266">
        <f t="shared" si="14"/>
        <v>5.4860033106888893E-3</v>
      </c>
      <c r="H44" s="107"/>
      <c r="I44" s="270"/>
      <c r="J44" s="270"/>
      <c r="K44" s="270"/>
      <c r="L44" s="267"/>
      <c r="M44" s="270"/>
      <c r="N44" s="268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70"/>
      <c r="AR44" s="270"/>
      <c r="AS44" s="270"/>
      <c r="AT44" s="270"/>
      <c r="AU44" s="270"/>
      <c r="AV44" s="270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0"/>
      <c r="BJ44" s="270"/>
      <c r="BK44" s="270"/>
      <c r="BL44" s="270"/>
      <c r="BM44" s="270"/>
      <c r="BN44" s="270"/>
      <c r="BO44" s="270"/>
      <c r="BP44" s="270"/>
      <c r="BQ44" s="270"/>
      <c r="BR44" s="270"/>
      <c r="BS44" s="270"/>
      <c r="BT44" s="270"/>
      <c r="BU44" s="270"/>
      <c r="BV44" s="270"/>
      <c r="BW44" s="270"/>
      <c r="BX44" s="270"/>
      <c r="BY44" s="270"/>
      <c r="BZ44" s="270"/>
      <c r="CA44" s="270"/>
      <c r="CB44" s="270"/>
      <c r="CC44" s="270"/>
      <c r="CD44" s="270"/>
      <c r="CE44" s="270"/>
      <c r="CF44" s="270"/>
      <c r="CG44" s="270"/>
      <c r="CH44" s="270"/>
      <c r="CI44" s="270"/>
      <c r="CJ44" s="270"/>
      <c r="CK44" s="270"/>
      <c r="CL44" s="270"/>
      <c r="CM44" s="270"/>
      <c r="CN44" s="270"/>
      <c r="CO44" s="270"/>
      <c r="CP44" s="270"/>
      <c r="CQ44" s="270"/>
      <c r="CR44" s="270"/>
      <c r="CS44" s="270"/>
      <c r="CT44" s="270"/>
      <c r="CU44" s="270"/>
      <c r="CV44" s="270"/>
      <c r="CW44" s="270"/>
      <c r="CX44" s="270"/>
      <c r="CY44" s="270"/>
      <c r="CZ44" s="270"/>
      <c r="DA44" s="270"/>
      <c r="DB44" s="270"/>
      <c r="DC44" s="270"/>
      <c r="DD44" s="270"/>
      <c r="DE44" s="270"/>
      <c r="DF44" s="270"/>
      <c r="DG44" s="270"/>
      <c r="DH44" s="270"/>
      <c r="DI44" s="270"/>
      <c r="DJ44" s="270"/>
      <c r="DK44" s="270"/>
      <c r="DL44" s="270"/>
      <c r="DM44" s="270"/>
      <c r="DN44" s="270"/>
      <c r="DO44" s="270"/>
      <c r="DP44" s="270"/>
      <c r="DQ44" s="270"/>
      <c r="DR44" s="270"/>
      <c r="DS44" s="270"/>
      <c r="DT44" s="270"/>
      <c r="DU44" s="270"/>
      <c r="DV44" s="270"/>
      <c r="DW44" s="270"/>
      <c r="DX44" s="270"/>
      <c r="DY44" s="270"/>
      <c r="DZ44" s="270"/>
      <c r="EA44" s="270"/>
      <c r="EB44" s="270"/>
      <c r="EC44" s="270"/>
      <c r="ED44" s="270"/>
      <c r="EE44" s="270"/>
      <c r="EF44" s="270"/>
      <c r="EG44" s="270"/>
      <c r="EH44" s="270"/>
      <c r="EI44" s="270"/>
      <c r="EJ44" s="270"/>
      <c r="EK44" s="270"/>
      <c r="EL44" s="270"/>
      <c r="EM44" s="270"/>
      <c r="EN44" s="270"/>
      <c r="EO44" s="270"/>
      <c r="EP44" s="270"/>
      <c r="EQ44" s="270"/>
      <c r="ER44" s="270"/>
      <c r="ES44" s="270"/>
      <c r="ET44" s="270"/>
      <c r="EU44" s="270"/>
      <c r="EV44" s="270"/>
      <c r="EW44" s="270"/>
      <c r="EX44" s="270"/>
      <c r="EY44" s="270"/>
      <c r="EZ44" s="270"/>
      <c r="FA44" s="270"/>
      <c r="FB44" s="270"/>
      <c r="FC44" s="270"/>
      <c r="FD44" s="270"/>
      <c r="FE44" s="270"/>
      <c r="FF44" s="270"/>
      <c r="FG44" s="270"/>
      <c r="FH44" s="270"/>
      <c r="FI44" s="270"/>
      <c r="FJ44" s="270"/>
      <c r="FK44" s="270"/>
      <c r="FL44" s="270"/>
      <c r="FM44" s="270"/>
      <c r="FN44" s="270"/>
      <c r="FO44" s="270"/>
      <c r="FP44" s="270"/>
      <c r="FQ44" s="270"/>
      <c r="FR44" s="270"/>
      <c r="FS44" s="270"/>
      <c r="FT44" s="270"/>
      <c r="FU44" s="270"/>
      <c r="FV44" s="270"/>
      <c r="FW44" s="270"/>
      <c r="FX44" s="270"/>
      <c r="FY44" s="270"/>
      <c r="FZ44" s="270"/>
      <c r="GA44" s="270"/>
      <c r="GB44" s="270"/>
      <c r="GC44" s="270"/>
      <c r="GD44" s="270"/>
      <c r="GE44" s="270"/>
      <c r="GF44" s="270"/>
      <c r="GG44" s="270"/>
      <c r="GH44" s="270"/>
      <c r="GI44" s="270"/>
      <c r="GJ44" s="270"/>
      <c r="GK44" s="270"/>
      <c r="GL44" s="270"/>
      <c r="GM44" s="270"/>
      <c r="GN44" s="270"/>
      <c r="GO44" s="270"/>
      <c r="GP44" s="270"/>
      <c r="GQ44" s="270"/>
      <c r="GR44" s="270"/>
      <c r="GS44" s="270"/>
      <c r="GT44" s="270"/>
      <c r="GU44" s="270"/>
      <c r="GV44" s="270"/>
      <c r="GW44" s="270"/>
      <c r="GX44" s="270"/>
      <c r="GY44" s="270"/>
      <c r="GZ44" s="270"/>
      <c r="HA44" s="270"/>
      <c r="HB44" s="270"/>
      <c r="HC44" s="270"/>
      <c r="HD44" s="270"/>
      <c r="HE44" s="270"/>
      <c r="HF44" s="270"/>
      <c r="HG44" s="270"/>
      <c r="HH44" s="270"/>
      <c r="HI44" s="270"/>
      <c r="HJ44" s="270"/>
      <c r="HK44" s="270"/>
      <c r="HL44" s="270"/>
      <c r="HM44" s="270"/>
      <c r="HN44" s="270"/>
      <c r="HO44" s="270"/>
      <c r="HP44" s="270"/>
      <c r="HQ44" s="270"/>
      <c r="HR44" s="270"/>
      <c r="HS44" s="270"/>
      <c r="HT44" s="270"/>
      <c r="HU44" s="270"/>
      <c r="HV44" s="270"/>
      <c r="HW44" s="270"/>
      <c r="HX44" s="270"/>
      <c r="HY44" s="270"/>
      <c r="HZ44" s="270"/>
      <c r="IA44" s="270"/>
      <c r="IB44" s="270"/>
      <c r="IC44" s="270"/>
      <c r="ID44" s="270"/>
      <c r="IE44" s="270"/>
      <c r="IF44" s="270"/>
      <c r="IG44" s="270"/>
      <c r="IH44" s="270"/>
      <c r="II44" s="270"/>
      <c r="IJ44" s="270"/>
      <c r="IK44" s="270"/>
      <c r="IL44" s="270"/>
      <c r="IM44" s="270"/>
      <c r="IN44" s="270"/>
      <c r="IO44" s="270"/>
      <c r="IP44" s="270"/>
      <c r="IQ44" s="270"/>
      <c r="IR44" s="270"/>
      <c r="IS44" s="270"/>
      <c r="IT44" s="270"/>
      <c r="IU44" s="270"/>
      <c r="IV44" s="270"/>
    </row>
    <row r="45" spans="1:256" ht="23.25" customHeight="1" x14ac:dyDescent="0.25">
      <c r="A45" s="263" t="s">
        <v>749</v>
      </c>
      <c r="B45" s="273" t="s">
        <v>471</v>
      </c>
      <c r="C45" s="278" t="s">
        <v>1032</v>
      </c>
      <c r="D45" s="259"/>
      <c r="E45" s="260">
        <f>+INDEX(Sheet1!A:D,MATCH(MapaIII!C45,Sheet1!A:A,0),2)</f>
        <v>9000000</v>
      </c>
      <c r="F45" s="260">
        <f t="shared" si="13"/>
        <v>9000000</v>
      </c>
      <c r="G45" s="266">
        <f t="shared" si="14"/>
        <v>1.9749611918480001E-2</v>
      </c>
      <c r="H45" s="107"/>
      <c r="I45" s="270"/>
      <c r="J45" s="270"/>
      <c r="K45" s="270"/>
      <c r="L45" s="267"/>
      <c r="M45" s="270"/>
      <c r="N45" s="268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270"/>
      <c r="BK45" s="270"/>
      <c r="BL45" s="270"/>
      <c r="BM45" s="270"/>
      <c r="BN45" s="270"/>
      <c r="BO45" s="270"/>
      <c r="BP45" s="270"/>
      <c r="BQ45" s="270"/>
      <c r="BR45" s="270"/>
      <c r="BS45" s="270"/>
      <c r="BT45" s="270"/>
      <c r="BU45" s="270"/>
      <c r="BV45" s="270"/>
      <c r="BW45" s="270"/>
      <c r="BX45" s="270"/>
      <c r="BY45" s="270"/>
      <c r="BZ45" s="270"/>
      <c r="CA45" s="270"/>
      <c r="CB45" s="270"/>
      <c r="CC45" s="270"/>
      <c r="CD45" s="270"/>
      <c r="CE45" s="270"/>
      <c r="CF45" s="270"/>
      <c r="CG45" s="270"/>
      <c r="CH45" s="270"/>
      <c r="CI45" s="270"/>
      <c r="CJ45" s="270"/>
      <c r="CK45" s="270"/>
      <c r="CL45" s="270"/>
      <c r="CM45" s="270"/>
      <c r="CN45" s="270"/>
      <c r="CO45" s="270"/>
      <c r="CP45" s="270"/>
      <c r="CQ45" s="270"/>
      <c r="CR45" s="270"/>
      <c r="CS45" s="270"/>
      <c r="CT45" s="270"/>
      <c r="CU45" s="270"/>
      <c r="CV45" s="270"/>
      <c r="CW45" s="270"/>
      <c r="CX45" s="270"/>
      <c r="CY45" s="270"/>
      <c r="CZ45" s="270"/>
      <c r="DA45" s="270"/>
      <c r="DB45" s="270"/>
      <c r="DC45" s="270"/>
      <c r="DD45" s="270"/>
      <c r="DE45" s="270"/>
      <c r="DF45" s="270"/>
      <c r="DG45" s="270"/>
      <c r="DH45" s="270"/>
      <c r="DI45" s="270"/>
      <c r="DJ45" s="270"/>
      <c r="DK45" s="270"/>
      <c r="DL45" s="270"/>
      <c r="DM45" s="270"/>
      <c r="DN45" s="270"/>
      <c r="DO45" s="270"/>
      <c r="DP45" s="270"/>
      <c r="DQ45" s="270"/>
      <c r="DR45" s="270"/>
      <c r="DS45" s="270"/>
      <c r="DT45" s="270"/>
      <c r="DU45" s="270"/>
      <c r="DV45" s="270"/>
      <c r="DW45" s="270"/>
      <c r="DX45" s="270"/>
      <c r="DY45" s="270"/>
      <c r="DZ45" s="270"/>
      <c r="EA45" s="270"/>
      <c r="EB45" s="270"/>
      <c r="EC45" s="270"/>
      <c r="ED45" s="270"/>
      <c r="EE45" s="270"/>
      <c r="EF45" s="270"/>
      <c r="EG45" s="270"/>
      <c r="EH45" s="270"/>
      <c r="EI45" s="270"/>
      <c r="EJ45" s="270"/>
      <c r="EK45" s="270"/>
      <c r="EL45" s="270"/>
      <c r="EM45" s="270"/>
      <c r="EN45" s="270"/>
      <c r="EO45" s="270"/>
      <c r="EP45" s="270"/>
      <c r="EQ45" s="270"/>
      <c r="ER45" s="270"/>
      <c r="ES45" s="270"/>
      <c r="ET45" s="270"/>
      <c r="EU45" s="270"/>
      <c r="EV45" s="270"/>
      <c r="EW45" s="270"/>
      <c r="EX45" s="270"/>
      <c r="EY45" s="270"/>
      <c r="EZ45" s="270"/>
      <c r="FA45" s="270"/>
      <c r="FB45" s="270"/>
      <c r="FC45" s="270"/>
      <c r="FD45" s="270"/>
      <c r="FE45" s="270"/>
      <c r="FF45" s="270"/>
      <c r="FG45" s="270"/>
      <c r="FH45" s="270"/>
      <c r="FI45" s="270"/>
      <c r="FJ45" s="270"/>
      <c r="FK45" s="270"/>
      <c r="FL45" s="270"/>
      <c r="FM45" s="270"/>
      <c r="FN45" s="270"/>
      <c r="FO45" s="270"/>
      <c r="FP45" s="270"/>
      <c r="FQ45" s="270"/>
      <c r="FR45" s="270"/>
      <c r="FS45" s="270"/>
      <c r="FT45" s="270"/>
      <c r="FU45" s="270"/>
      <c r="FV45" s="270"/>
      <c r="FW45" s="270"/>
      <c r="FX45" s="270"/>
      <c r="FY45" s="270"/>
      <c r="FZ45" s="270"/>
      <c r="GA45" s="270"/>
      <c r="GB45" s="270"/>
      <c r="GC45" s="270"/>
      <c r="GD45" s="270"/>
      <c r="GE45" s="270"/>
      <c r="GF45" s="270"/>
      <c r="GG45" s="270"/>
      <c r="GH45" s="270"/>
      <c r="GI45" s="270"/>
      <c r="GJ45" s="270"/>
      <c r="GK45" s="270"/>
      <c r="GL45" s="270"/>
      <c r="GM45" s="270"/>
      <c r="GN45" s="270"/>
      <c r="GO45" s="270"/>
      <c r="GP45" s="270"/>
      <c r="GQ45" s="270"/>
      <c r="GR45" s="270"/>
      <c r="GS45" s="270"/>
      <c r="GT45" s="270"/>
      <c r="GU45" s="270"/>
      <c r="GV45" s="270"/>
      <c r="GW45" s="270"/>
      <c r="GX45" s="270"/>
      <c r="GY45" s="270"/>
      <c r="GZ45" s="270"/>
      <c r="HA45" s="270"/>
      <c r="HB45" s="270"/>
      <c r="HC45" s="270"/>
      <c r="HD45" s="270"/>
      <c r="HE45" s="270"/>
      <c r="HF45" s="270"/>
      <c r="HG45" s="270"/>
      <c r="HH45" s="270"/>
      <c r="HI45" s="270"/>
      <c r="HJ45" s="270"/>
      <c r="HK45" s="270"/>
      <c r="HL45" s="270"/>
      <c r="HM45" s="270"/>
      <c r="HN45" s="270"/>
      <c r="HO45" s="270"/>
      <c r="HP45" s="270"/>
      <c r="HQ45" s="270"/>
      <c r="HR45" s="270"/>
      <c r="HS45" s="270"/>
      <c r="HT45" s="270"/>
      <c r="HU45" s="270"/>
      <c r="HV45" s="270"/>
      <c r="HW45" s="270"/>
      <c r="HX45" s="270"/>
      <c r="HY45" s="270"/>
      <c r="HZ45" s="270"/>
      <c r="IA45" s="270"/>
      <c r="IB45" s="270"/>
      <c r="IC45" s="270"/>
      <c r="ID45" s="270"/>
      <c r="IE45" s="270"/>
      <c r="IF45" s="270"/>
      <c r="IG45" s="270"/>
      <c r="IH45" s="270"/>
      <c r="II45" s="270"/>
      <c r="IJ45" s="270"/>
      <c r="IK45" s="270"/>
      <c r="IL45" s="270"/>
      <c r="IM45" s="270"/>
      <c r="IN45" s="270"/>
      <c r="IO45" s="270"/>
      <c r="IP45" s="270"/>
      <c r="IQ45" s="270"/>
      <c r="IR45" s="270"/>
      <c r="IS45" s="270"/>
      <c r="IT45" s="270"/>
      <c r="IU45" s="270"/>
      <c r="IV45" s="270"/>
    </row>
    <row r="46" spans="1:256" ht="18.75" customHeight="1" x14ac:dyDescent="0.25">
      <c r="A46" s="263" t="s">
        <v>749</v>
      </c>
      <c r="B46" s="273" t="s">
        <v>471</v>
      </c>
      <c r="C46" s="278" t="s">
        <v>911</v>
      </c>
      <c r="D46" s="259"/>
      <c r="E46" s="260">
        <f>+INDEX(Sheet1!A:D,MATCH(MapaIII!C46,Sheet1!A:A,0),2)</f>
        <v>1000000</v>
      </c>
      <c r="F46" s="260">
        <f t="shared" si="13"/>
        <v>1000000</v>
      </c>
      <c r="G46" s="266">
        <f t="shared" si="14"/>
        <v>2.1944013242755555E-3</v>
      </c>
      <c r="H46" s="107"/>
      <c r="I46" s="270"/>
      <c r="J46" s="270"/>
      <c r="K46" s="270"/>
      <c r="L46" s="267"/>
      <c r="M46" s="270"/>
      <c r="N46" s="268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70"/>
      <c r="AR46" s="270"/>
      <c r="AS46" s="270"/>
      <c r="AT46" s="270"/>
      <c r="AU46" s="270"/>
      <c r="AV46" s="270"/>
      <c r="AW46" s="270"/>
      <c r="AX46" s="270"/>
      <c r="AY46" s="270"/>
      <c r="AZ46" s="270"/>
      <c r="BA46" s="270"/>
      <c r="BB46" s="270"/>
      <c r="BC46" s="270"/>
      <c r="BD46" s="270"/>
      <c r="BE46" s="270"/>
      <c r="BF46" s="270"/>
      <c r="BG46" s="270"/>
      <c r="BH46" s="270"/>
      <c r="BI46" s="270"/>
      <c r="BJ46" s="270"/>
      <c r="BK46" s="270"/>
      <c r="BL46" s="270"/>
      <c r="BM46" s="270"/>
      <c r="BN46" s="270"/>
      <c r="BO46" s="270"/>
      <c r="BP46" s="270"/>
      <c r="BQ46" s="270"/>
      <c r="BR46" s="270"/>
      <c r="BS46" s="270"/>
      <c r="BT46" s="270"/>
      <c r="BU46" s="270"/>
      <c r="BV46" s="270"/>
      <c r="BW46" s="270"/>
      <c r="BX46" s="270"/>
      <c r="BY46" s="270"/>
      <c r="BZ46" s="270"/>
      <c r="CA46" s="270"/>
      <c r="CB46" s="270"/>
      <c r="CC46" s="270"/>
      <c r="CD46" s="270"/>
      <c r="CE46" s="270"/>
      <c r="CF46" s="270"/>
      <c r="CG46" s="270"/>
      <c r="CH46" s="270"/>
      <c r="CI46" s="270"/>
      <c r="CJ46" s="270"/>
      <c r="CK46" s="270"/>
      <c r="CL46" s="270"/>
      <c r="CM46" s="270"/>
      <c r="CN46" s="270"/>
      <c r="CO46" s="270"/>
      <c r="CP46" s="270"/>
      <c r="CQ46" s="270"/>
      <c r="CR46" s="270"/>
      <c r="CS46" s="270"/>
      <c r="CT46" s="270"/>
      <c r="CU46" s="270"/>
      <c r="CV46" s="270"/>
      <c r="CW46" s="270"/>
      <c r="CX46" s="270"/>
      <c r="CY46" s="270"/>
      <c r="CZ46" s="270"/>
      <c r="DA46" s="270"/>
      <c r="DB46" s="270"/>
      <c r="DC46" s="270"/>
      <c r="DD46" s="270"/>
      <c r="DE46" s="270"/>
      <c r="DF46" s="270"/>
      <c r="DG46" s="270"/>
      <c r="DH46" s="270"/>
      <c r="DI46" s="270"/>
      <c r="DJ46" s="270"/>
      <c r="DK46" s="270"/>
      <c r="DL46" s="270"/>
      <c r="DM46" s="270"/>
      <c r="DN46" s="270"/>
      <c r="DO46" s="270"/>
      <c r="DP46" s="270"/>
      <c r="DQ46" s="270"/>
      <c r="DR46" s="270"/>
      <c r="DS46" s="270"/>
      <c r="DT46" s="270"/>
      <c r="DU46" s="270"/>
      <c r="DV46" s="270"/>
      <c r="DW46" s="270"/>
      <c r="DX46" s="270"/>
      <c r="DY46" s="270"/>
      <c r="DZ46" s="270"/>
      <c r="EA46" s="270"/>
      <c r="EB46" s="270"/>
      <c r="EC46" s="270"/>
      <c r="ED46" s="270"/>
      <c r="EE46" s="270"/>
      <c r="EF46" s="270"/>
      <c r="EG46" s="270"/>
      <c r="EH46" s="270"/>
      <c r="EI46" s="270"/>
      <c r="EJ46" s="270"/>
      <c r="EK46" s="270"/>
      <c r="EL46" s="270"/>
      <c r="EM46" s="270"/>
      <c r="EN46" s="270"/>
      <c r="EO46" s="270"/>
      <c r="EP46" s="270"/>
      <c r="EQ46" s="270"/>
      <c r="ER46" s="270"/>
      <c r="ES46" s="270"/>
      <c r="ET46" s="270"/>
      <c r="EU46" s="270"/>
      <c r="EV46" s="270"/>
      <c r="EW46" s="270"/>
      <c r="EX46" s="270"/>
      <c r="EY46" s="270"/>
      <c r="EZ46" s="270"/>
      <c r="FA46" s="270"/>
      <c r="FB46" s="270"/>
      <c r="FC46" s="270"/>
      <c r="FD46" s="270"/>
      <c r="FE46" s="270"/>
      <c r="FF46" s="270"/>
      <c r="FG46" s="270"/>
      <c r="FH46" s="270"/>
      <c r="FI46" s="270"/>
      <c r="FJ46" s="270"/>
      <c r="FK46" s="270"/>
      <c r="FL46" s="270"/>
      <c r="FM46" s="270"/>
      <c r="FN46" s="270"/>
      <c r="FO46" s="270"/>
      <c r="FP46" s="270"/>
      <c r="FQ46" s="270"/>
      <c r="FR46" s="270"/>
      <c r="FS46" s="270"/>
      <c r="FT46" s="270"/>
      <c r="FU46" s="270"/>
      <c r="FV46" s="270"/>
      <c r="FW46" s="270"/>
      <c r="FX46" s="270"/>
      <c r="FY46" s="270"/>
      <c r="FZ46" s="270"/>
      <c r="GA46" s="270"/>
      <c r="GB46" s="270"/>
      <c r="GC46" s="270"/>
      <c r="GD46" s="270"/>
      <c r="GE46" s="270"/>
      <c r="GF46" s="270"/>
      <c r="GG46" s="270"/>
      <c r="GH46" s="270"/>
      <c r="GI46" s="270"/>
      <c r="GJ46" s="270"/>
      <c r="GK46" s="270"/>
      <c r="GL46" s="270"/>
      <c r="GM46" s="270"/>
      <c r="GN46" s="270"/>
      <c r="GO46" s="270"/>
      <c r="GP46" s="270"/>
      <c r="GQ46" s="270"/>
      <c r="GR46" s="270"/>
      <c r="GS46" s="270"/>
      <c r="GT46" s="270"/>
      <c r="GU46" s="270"/>
      <c r="GV46" s="270"/>
      <c r="GW46" s="270"/>
      <c r="GX46" s="270"/>
      <c r="GY46" s="270"/>
      <c r="GZ46" s="270"/>
      <c r="HA46" s="270"/>
      <c r="HB46" s="270"/>
      <c r="HC46" s="270"/>
      <c r="HD46" s="270"/>
      <c r="HE46" s="270"/>
      <c r="HF46" s="270"/>
      <c r="HG46" s="270"/>
      <c r="HH46" s="270"/>
      <c r="HI46" s="270"/>
      <c r="HJ46" s="270"/>
      <c r="HK46" s="270"/>
      <c r="HL46" s="270"/>
      <c r="HM46" s="270"/>
      <c r="HN46" s="270"/>
      <c r="HO46" s="270"/>
      <c r="HP46" s="270"/>
      <c r="HQ46" s="270"/>
      <c r="HR46" s="270"/>
      <c r="HS46" s="270"/>
      <c r="HT46" s="270"/>
      <c r="HU46" s="270"/>
      <c r="HV46" s="270"/>
      <c r="HW46" s="270"/>
      <c r="HX46" s="270"/>
      <c r="HY46" s="270"/>
      <c r="HZ46" s="270"/>
      <c r="IA46" s="270"/>
      <c r="IB46" s="270"/>
      <c r="IC46" s="270"/>
      <c r="ID46" s="270"/>
      <c r="IE46" s="270"/>
      <c r="IF46" s="270"/>
      <c r="IG46" s="270"/>
      <c r="IH46" s="270"/>
      <c r="II46" s="270"/>
      <c r="IJ46" s="270"/>
      <c r="IK46" s="270"/>
      <c r="IL46" s="270"/>
      <c r="IM46" s="270"/>
      <c r="IN46" s="270"/>
      <c r="IO46" s="270"/>
      <c r="IP46" s="270"/>
      <c r="IQ46" s="270"/>
      <c r="IR46" s="270"/>
      <c r="IS46" s="270"/>
      <c r="IT46" s="270"/>
      <c r="IU46" s="270"/>
      <c r="IV46" s="270"/>
    </row>
    <row r="47" spans="1:256" ht="18.75" customHeight="1" x14ac:dyDescent="0.25">
      <c r="A47" s="263" t="s">
        <v>749</v>
      </c>
      <c r="B47" s="273" t="s">
        <v>471</v>
      </c>
      <c r="C47" s="278" t="s">
        <v>915</v>
      </c>
      <c r="D47" s="259"/>
      <c r="E47" s="260">
        <f>+INDEX(Sheet1!A:D,MATCH(MapaIII!C47,Sheet1!A:A,0),2)</f>
        <v>5000000</v>
      </c>
      <c r="F47" s="260">
        <f t="shared" si="13"/>
        <v>5000000</v>
      </c>
      <c r="G47" s="266">
        <f t="shared" si="14"/>
        <v>1.0972006621377779E-2</v>
      </c>
      <c r="H47" s="107"/>
      <c r="I47" s="270"/>
      <c r="J47" s="270"/>
      <c r="K47" s="270"/>
      <c r="L47" s="267"/>
      <c r="M47" s="270"/>
      <c r="N47" s="268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70"/>
      <c r="AR47" s="270"/>
      <c r="AS47" s="270"/>
      <c r="AT47" s="270"/>
      <c r="AU47" s="270"/>
      <c r="AV47" s="270"/>
      <c r="AW47" s="270"/>
      <c r="AX47" s="270"/>
      <c r="AY47" s="270"/>
      <c r="AZ47" s="270"/>
      <c r="BA47" s="270"/>
      <c r="BB47" s="270"/>
      <c r="BC47" s="270"/>
      <c r="BD47" s="270"/>
      <c r="BE47" s="270"/>
      <c r="BF47" s="270"/>
      <c r="BG47" s="270"/>
      <c r="BH47" s="270"/>
      <c r="BI47" s="270"/>
      <c r="BJ47" s="270"/>
      <c r="BK47" s="270"/>
      <c r="BL47" s="270"/>
      <c r="BM47" s="270"/>
      <c r="BN47" s="270"/>
      <c r="BO47" s="270"/>
      <c r="BP47" s="270"/>
      <c r="BQ47" s="270"/>
      <c r="BR47" s="270"/>
      <c r="BS47" s="270"/>
      <c r="BT47" s="270"/>
      <c r="BU47" s="270"/>
      <c r="BV47" s="270"/>
      <c r="BW47" s="270"/>
      <c r="BX47" s="270"/>
      <c r="BY47" s="270"/>
      <c r="BZ47" s="270"/>
      <c r="CA47" s="270"/>
      <c r="CB47" s="270"/>
      <c r="CC47" s="270"/>
      <c r="CD47" s="270"/>
      <c r="CE47" s="270"/>
      <c r="CF47" s="270"/>
      <c r="CG47" s="270"/>
      <c r="CH47" s="270"/>
      <c r="CI47" s="270"/>
      <c r="CJ47" s="270"/>
      <c r="CK47" s="270"/>
      <c r="CL47" s="270"/>
      <c r="CM47" s="270"/>
      <c r="CN47" s="270"/>
      <c r="CO47" s="270"/>
      <c r="CP47" s="270"/>
      <c r="CQ47" s="270"/>
      <c r="CR47" s="270"/>
      <c r="CS47" s="270"/>
      <c r="CT47" s="270"/>
      <c r="CU47" s="270"/>
      <c r="CV47" s="270"/>
      <c r="CW47" s="270"/>
      <c r="CX47" s="270"/>
      <c r="CY47" s="270"/>
      <c r="CZ47" s="270"/>
      <c r="DA47" s="270"/>
      <c r="DB47" s="270"/>
      <c r="DC47" s="270"/>
      <c r="DD47" s="270"/>
      <c r="DE47" s="270"/>
      <c r="DF47" s="270"/>
      <c r="DG47" s="270"/>
      <c r="DH47" s="270"/>
      <c r="DI47" s="270"/>
      <c r="DJ47" s="270"/>
      <c r="DK47" s="270"/>
      <c r="DL47" s="270"/>
      <c r="DM47" s="270"/>
      <c r="DN47" s="270"/>
      <c r="DO47" s="270"/>
      <c r="DP47" s="270"/>
      <c r="DQ47" s="270"/>
      <c r="DR47" s="270"/>
      <c r="DS47" s="270"/>
      <c r="DT47" s="270"/>
      <c r="DU47" s="270"/>
      <c r="DV47" s="270"/>
      <c r="DW47" s="270"/>
      <c r="DX47" s="270"/>
      <c r="DY47" s="270"/>
      <c r="DZ47" s="270"/>
      <c r="EA47" s="270"/>
      <c r="EB47" s="270"/>
      <c r="EC47" s="270"/>
      <c r="ED47" s="270"/>
      <c r="EE47" s="270"/>
      <c r="EF47" s="270"/>
      <c r="EG47" s="270"/>
      <c r="EH47" s="270"/>
      <c r="EI47" s="270"/>
      <c r="EJ47" s="270"/>
      <c r="EK47" s="270"/>
      <c r="EL47" s="270"/>
      <c r="EM47" s="270"/>
      <c r="EN47" s="270"/>
      <c r="EO47" s="270"/>
      <c r="EP47" s="270"/>
      <c r="EQ47" s="270"/>
      <c r="ER47" s="270"/>
      <c r="ES47" s="270"/>
      <c r="ET47" s="270"/>
      <c r="EU47" s="270"/>
      <c r="EV47" s="270"/>
      <c r="EW47" s="270"/>
      <c r="EX47" s="270"/>
      <c r="EY47" s="270"/>
      <c r="EZ47" s="270"/>
      <c r="FA47" s="270"/>
      <c r="FB47" s="270"/>
      <c r="FC47" s="270"/>
      <c r="FD47" s="270"/>
      <c r="FE47" s="270"/>
      <c r="FF47" s="270"/>
      <c r="FG47" s="270"/>
      <c r="FH47" s="270"/>
      <c r="FI47" s="270"/>
      <c r="FJ47" s="270"/>
      <c r="FK47" s="270"/>
      <c r="FL47" s="270"/>
      <c r="FM47" s="270"/>
      <c r="FN47" s="270"/>
      <c r="FO47" s="270"/>
      <c r="FP47" s="270"/>
      <c r="FQ47" s="270"/>
      <c r="FR47" s="270"/>
      <c r="FS47" s="270"/>
      <c r="FT47" s="270"/>
      <c r="FU47" s="270"/>
      <c r="FV47" s="270"/>
      <c r="FW47" s="270"/>
      <c r="FX47" s="270"/>
      <c r="FY47" s="270"/>
      <c r="FZ47" s="270"/>
      <c r="GA47" s="270"/>
      <c r="GB47" s="270"/>
      <c r="GC47" s="270"/>
      <c r="GD47" s="270"/>
      <c r="GE47" s="270"/>
      <c r="GF47" s="270"/>
      <c r="GG47" s="270"/>
      <c r="GH47" s="270"/>
      <c r="GI47" s="270"/>
      <c r="GJ47" s="270"/>
      <c r="GK47" s="270"/>
      <c r="GL47" s="270"/>
      <c r="GM47" s="270"/>
      <c r="GN47" s="270"/>
      <c r="GO47" s="270"/>
      <c r="GP47" s="270"/>
      <c r="GQ47" s="270"/>
      <c r="GR47" s="270"/>
      <c r="GS47" s="270"/>
      <c r="GT47" s="270"/>
      <c r="GU47" s="270"/>
      <c r="GV47" s="270"/>
      <c r="GW47" s="270"/>
      <c r="GX47" s="270"/>
      <c r="GY47" s="270"/>
      <c r="GZ47" s="270"/>
      <c r="HA47" s="270"/>
      <c r="HB47" s="270"/>
      <c r="HC47" s="270"/>
      <c r="HD47" s="270"/>
      <c r="HE47" s="270"/>
      <c r="HF47" s="270"/>
      <c r="HG47" s="270"/>
      <c r="HH47" s="270"/>
      <c r="HI47" s="270"/>
      <c r="HJ47" s="270"/>
      <c r="HK47" s="270"/>
      <c r="HL47" s="270"/>
      <c r="HM47" s="270"/>
      <c r="HN47" s="270"/>
      <c r="HO47" s="270"/>
      <c r="HP47" s="270"/>
      <c r="HQ47" s="270"/>
      <c r="HR47" s="270"/>
      <c r="HS47" s="270"/>
      <c r="HT47" s="270"/>
      <c r="HU47" s="270"/>
      <c r="HV47" s="270"/>
      <c r="HW47" s="270"/>
      <c r="HX47" s="270"/>
      <c r="HY47" s="270"/>
      <c r="HZ47" s="270"/>
      <c r="IA47" s="270"/>
      <c r="IB47" s="270"/>
      <c r="IC47" s="270"/>
      <c r="ID47" s="270"/>
      <c r="IE47" s="270"/>
      <c r="IF47" s="270"/>
      <c r="IG47" s="270"/>
      <c r="IH47" s="270"/>
      <c r="II47" s="270"/>
      <c r="IJ47" s="270"/>
      <c r="IK47" s="270"/>
      <c r="IL47" s="270"/>
      <c r="IM47" s="270"/>
      <c r="IN47" s="270"/>
      <c r="IO47" s="270"/>
      <c r="IP47" s="270"/>
      <c r="IQ47" s="270"/>
      <c r="IR47" s="270"/>
      <c r="IS47" s="270"/>
      <c r="IT47" s="270"/>
      <c r="IU47" s="270"/>
      <c r="IV47" s="270"/>
    </row>
    <row r="48" spans="1:256" ht="18.75" customHeight="1" x14ac:dyDescent="0.25">
      <c r="A48" s="263" t="s">
        <v>749</v>
      </c>
      <c r="B48" s="273" t="s">
        <v>471</v>
      </c>
      <c r="C48" s="278" t="s">
        <v>916</v>
      </c>
      <c r="D48" s="259"/>
      <c r="E48" s="260">
        <f>+INDEX(Sheet1!A:D,MATCH(MapaIII!C48,Sheet1!A:A,0),2)</f>
        <v>17000000</v>
      </c>
      <c r="F48" s="260">
        <f t="shared" si="13"/>
        <v>17000000</v>
      </c>
      <c r="G48" s="266">
        <f t="shared" si="14"/>
        <v>3.7304822512684445E-2</v>
      </c>
      <c r="H48" s="107"/>
      <c r="I48" s="270"/>
      <c r="J48" s="270"/>
      <c r="K48" s="270"/>
      <c r="L48" s="267"/>
      <c r="M48" s="270"/>
      <c r="N48" s="268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70"/>
      <c r="AS48" s="270"/>
      <c r="AT48" s="270"/>
      <c r="AU48" s="270"/>
      <c r="AV48" s="270"/>
      <c r="AW48" s="270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270"/>
      <c r="BI48" s="270"/>
      <c r="BJ48" s="270"/>
      <c r="BK48" s="270"/>
      <c r="BL48" s="270"/>
      <c r="BM48" s="270"/>
      <c r="BN48" s="270"/>
      <c r="BO48" s="270"/>
      <c r="BP48" s="270"/>
      <c r="BQ48" s="270"/>
      <c r="BR48" s="270"/>
      <c r="BS48" s="270"/>
      <c r="BT48" s="270"/>
      <c r="BU48" s="270"/>
      <c r="BV48" s="270"/>
      <c r="BW48" s="270"/>
      <c r="BX48" s="270"/>
      <c r="BY48" s="270"/>
      <c r="BZ48" s="270"/>
      <c r="CA48" s="270"/>
      <c r="CB48" s="270"/>
      <c r="CC48" s="270"/>
      <c r="CD48" s="270"/>
      <c r="CE48" s="270"/>
      <c r="CF48" s="270"/>
      <c r="CG48" s="270"/>
      <c r="CH48" s="270"/>
      <c r="CI48" s="270"/>
      <c r="CJ48" s="270"/>
      <c r="CK48" s="270"/>
      <c r="CL48" s="270"/>
      <c r="CM48" s="270"/>
      <c r="CN48" s="270"/>
      <c r="CO48" s="270"/>
      <c r="CP48" s="270"/>
      <c r="CQ48" s="270"/>
      <c r="CR48" s="270"/>
      <c r="CS48" s="270"/>
      <c r="CT48" s="270"/>
      <c r="CU48" s="270"/>
      <c r="CV48" s="270"/>
      <c r="CW48" s="270"/>
      <c r="CX48" s="270"/>
      <c r="CY48" s="270"/>
      <c r="CZ48" s="270"/>
      <c r="DA48" s="270"/>
      <c r="DB48" s="270"/>
      <c r="DC48" s="270"/>
      <c r="DD48" s="270"/>
      <c r="DE48" s="270"/>
      <c r="DF48" s="270"/>
      <c r="DG48" s="270"/>
      <c r="DH48" s="270"/>
      <c r="DI48" s="270"/>
      <c r="DJ48" s="270"/>
      <c r="DK48" s="270"/>
      <c r="DL48" s="270"/>
      <c r="DM48" s="270"/>
      <c r="DN48" s="270"/>
      <c r="DO48" s="270"/>
      <c r="DP48" s="270"/>
      <c r="DQ48" s="270"/>
      <c r="DR48" s="270"/>
      <c r="DS48" s="270"/>
      <c r="DT48" s="270"/>
      <c r="DU48" s="270"/>
      <c r="DV48" s="270"/>
      <c r="DW48" s="270"/>
      <c r="DX48" s="270"/>
      <c r="DY48" s="270"/>
      <c r="DZ48" s="270"/>
      <c r="EA48" s="270"/>
      <c r="EB48" s="270"/>
      <c r="EC48" s="270"/>
      <c r="ED48" s="270"/>
      <c r="EE48" s="270"/>
      <c r="EF48" s="270"/>
      <c r="EG48" s="270"/>
      <c r="EH48" s="270"/>
      <c r="EI48" s="270"/>
      <c r="EJ48" s="270"/>
      <c r="EK48" s="270"/>
      <c r="EL48" s="270"/>
      <c r="EM48" s="270"/>
      <c r="EN48" s="270"/>
      <c r="EO48" s="270"/>
      <c r="EP48" s="270"/>
      <c r="EQ48" s="270"/>
      <c r="ER48" s="270"/>
      <c r="ES48" s="270"/>
      <c r="ET48" s="270"/>
      <c r="EU48" s="270"/>
      <c r="EV48" s="270"/>
      <c r="EW48" s="270"/>
      <c r="EX48" s="270"/>
      <c r="EY48" s="270"/>
      <c r="EZ48" s="270"/>
      <c r="FA48" s="270"/>
      <c r="FB48" s="270"/>
      <c r="FC48" s="270"/>
      <c r="FD48" s="270"/>
      <c r="FE48" s="270"/>
      <c r="FF48" s="270"/>
      <c r="FG48" s="270"/>
      <c r="FH48" s="270"/>
      <c r="FI48" s="270"/>
      <c r="FJ48" s="270"/>
      <c r="FK48" s="270"/>
      <c r="FL48" s="270"/>
      <c r="FM48" s="270"/>
      <c r="FN48" s="270"/>
      <c r="FO48" s="270"/>
      <c r="FP48" s="270"/>
      <c r="FQ48" s="270"/>
      <c r="FR48" s="270"/>
      <c r="FS48" s="270"/>
      <c r="FT48" s="270"/>
      <c r="FU48" s="270"/>
      <c r="FV48" s="270"/>
      <c r="FW48" s="270"/>
      <c r="FX48" s="270"/>
      <c r="FY48" s="270"/>
      <c r="FZ48" s="270"/>
      <c r="GA48" s="270"/>
      <c r="GB48" s="270"/>
      <c r="GC48" s="270"/>
      <c r="GD48" s="270"/>
      <c r="GE48" s="270"/>
      <c r="GF48" s="270"/>
      <c r="GG48" s="270"/>
      <c r="GH48" s="270"/>
      <c r="GI48" s="270"/>
      <c r="GJ48" s="270"/>
      <c r="GK48" s="270"/>
      <c r="GL48" s="270"/>
      <c r="GM48" s="270"/>
      <c r="GN48" s="270"/>
      <c r="GO48" s="270"/>
      <c r="GP48" s="270"/>
      <c r="GQ48" s="270"/>
      <c r="GR48" s="270"/>
      <c r="GS48" s="270"/>
      <c r="GT48" s="270"/>
      <c r="GU48" s="270"/>
      <c r="GV48" s="270"/>
      <c r="GW48" s="270"/>
      <c r="GX48" s="270"/>
      <c r="GY48" s="270"/>
      <c r="GZ48" s="270"/>
      <c r="HA48" s="270"/>
      <c r="HB48" s="270"/>
      <c r="HC48" s="270"/>
      <c r="HD48" s="270"/>
      <c r="HE48" s="270"/>
      <c r="HF48" s="270"/>
      <c r="HG48" s="270"/>
      <c r="HH48" s="270"/>
      <c r="HI48" s="270"/>
      <c r="HJ48" s="270"/>
      <c r="HK48" s="270"/>
      <c r="HL48" s="270"/>
      <c r="HM48" s="270"/>
      <c r="HN48" s="270"/>
      <c r="HO48" s="270"/>
      <c r="HP48" s="270"/>
      <c r="HQ48" s="270"/>
      <c r="HR48" s="270"/>
      <c r="HS48" s="270"/>
      <c r="HT48" s="270"/>
      <c r="HU48" s="270"/>
      <c r="HV48" s="270"/>
      <c r="HW48" s="270"/>
      <c r="HX48" s="270"/>
      <c r="HY48" s="270"/>
      <c r="HZ48" s="270"/>
      <c r="IA48" s="270"/>
      <c r="IB48" s="270"/>
      <c r="IC48" s="270"/>
      <c r="ID48" s="270"/>
      <c r="IE48" s="270"/>
      <c r="IF48" s="270"/>
      <c r="IG48" s="270"/>
      <c r="IH48" s="270"/>
      <c r="II48" s="270"/>
      <c r="IJ48" s="270"/>
      <c r="IK48" s="270"/>
      <c r="IL48" s="270"/>
      <c r="IM48" s="270"/>
      <c r="IN48" s="270"/>
      <c r="IO48" s="270"/>
      <c r="IP48" s="270"/>
      <c r="IQ48" s="270"/>
      <c r="IR48" s="270"/>
      <c r="IS48" s="270"/>
      <c r="IT48" s="270"/>
      <c r="IU48" s="270"/>
      <c r="IV48" s="270"/>
    </row>
    <row r="49" spans="1:256" ht="18.75" customHeight="1" x14ac:dyDescent="0.25">
      <c r="A49" s="263" t="s">
        <v>749</v>
      </c>
      <c r="B49" s="273" t="s">
        <v>471</v>
      </c>
      <c r="C49" s="278" t="s">
        <v>1028</v>
      </c>
      <c r="D49" s="259"/>
      <c r="E49" s="260">
        <f>+INDEX(Sheet1!A:D,MATCH(MapaIII!C49,Sheet1!A:A,0),2)</f>
        <v>8000000</v>
      </c>
      <c r="F49" s="260">
        <f t="shared" si="13"/>
        <v>8000000</v>
      </c>
      <c r="G49" s="266">
        <f t="shared" si="14"/>
        <v>1.7555210594204444E-2</v>
      </c>
      <c r="H49" s="107"/>
      <c r="I49" s="270"/>
      <c r="J49" s="270"/>
      <c r="K49" s="270"/>
      <c r="L49" s="267"/>
      <c r="M49" s="270"/>
      <c r="N49" s="268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0"/>
      <c r="AU49" s="270"/>
      <c r="AV49" s="270"/>
      <c r="AW49" s="270"/>
      <c r="AX49" s="270"/>
      <c r="AY49" s="270"/>
      <c r="AZ49" s="270"/>
      <c r="BA49" s="270"/>
      <c r="BB49" s="270"/>
      <c r="BC49" s="270"/>
      <c r="BD49" s="270"/>
      <c r="BE49" s="270"/>
      <c r="BF49" s="270"/>
      <c r="BG49" s="270"/>
      <c r="BH49" s="270"/>
      <c r="BI49" s="270"/>
      <c r="BJ49" s="270"/>
      <c r="BK49" s="270"/>
      <c r="BL49" s="270"/>
      <c r="BM49" s="270"/>
      <c r="BN49" s="270"/>
      <c r="BO49" s="270"/>
      <c r="BP49" s="270"/>
      <c r="BQ49" s="270"/>
      <c r="BR49" s="270"/>
      <c r="BS49" s="270"/>
      <c r="BT49" s="270"/>
      <c r="BU49" s="270"/>
      <c r="BV49" s="270"/>
      <c r="BW49" s="270"/>
      <c r="BX49" s="270"/>
      <c r="BY49" s="270"/>
      <c r="BZ49" s="270"/>
      <c r="CA49" s="270"/>
      <c r="CB49" s="270"/>
      <c r="CC49" s="270"/>
      <c r="CD49" s="270"/>
      <c r="CE49" s="270"/>
      <c r="CF49" s="270"/>
      <c r="CG49" s="270"/>
      <c r="CH49" s="270"/>
      <c r="CI49" s="270"/>
      <c r="CJ49" s="270"/>
      <c r="CK49" s="270"/>
      <c r="CL49" s="270"/>
      <c r="CM49" s="270"/>
      <c r="CN49" s="270"/>
      <c r="CO49" s="270"/>
      <c r="CP49" s="270"/>
      <c r="CQ49" s="270"/>
      <c r="CR49" s="270"/>
      <c r="CS49" s="270"/>
      <c r="CT49" s="270"/>
      <c r="CU49" s="270"/>
      <c r="CV49" s="270"/>
      <c r="CW49" s="270"/>
      <c r="CX49" s="270"/>
      <c r="CY49" s="270"/>
      <c r="CZ49" s="270"/>
      <c r="DA49" s="270"/>
      <c r="DB49" s="270"/>
      <c r="DC49" s="270"/>
      <c r="DD49" s="270"/>
      <c r="DE49" s="270"/>
      <c r="DF49" s="270"/>
      <c r="DG49" s="270"/>
      <c r="DH49" s="270"/>
      <c r="DI49" s="270"/>
      <c r="DJ49" s="270"/>
      <c r="DK49" s="270"/>
      <c r="DL49" s="270"/>
      <c r="DM49" s="270"/>
      <c r="DN49" s="270"/>
      <c r="DO49" s="270"/>
      <c r="DP49" s="270"/>
      <c r="DQ49" s="270"/>
      <c r="DR49" s="270"/>
      <c r="DS49" s="270"/>
      <c r="DT49" s="270"/>
      <c r="DU49" s="270"/>
      <c r="DV49" s="270"/>
      <c r="DW49" s="270"/>
      <c r="DX49" s="270"/>
      <c r="DY49" s="270"/>
      <c r="DZ49" s="270"/>
      <c r="EA49" s="270"/>
      <c r="EB49" s="270"/>
      <c r="EC49" s="270"/>
      <c r="ED49" s="270"/>
      <c r="EE49" s="270"/>
      <c r="EF49" s="270"/>
      <c r="EG49" s="270"/>
      <c r="EH49" s="270"/>
      <c r="EI49" s="270"/>
      <c r="EJ49" s="270"/>
      <c r="EK49" s="270"/>
      <c r="EL49" s="270"/>
      <c r="EM49" s="270"/>
      <c r="EN49" s="270"/>
      <c r="EO49" s="270"/>
      <c r="EP49" s="270"/>
      <c r="EQ49" s="270"/>
      <c r="ER49" s="270"/>
      <c r="ES49" s="270"/>
      <c r="ET49" s="270"/>
      <c r="EU49" s="270"/>
      <c r="EV49" s="270"/>
      <c r="EW49" s="270"/>
      <c r="EX49" s="270"/>
      <c r="EY49" s="270"/>
      <c r="EZ49" s="270"/>
      <c r="FA49" s="270"/>
      <c r="FB49" s="270"/>
      <c r="FC49" s="270"/>
      <c r="FD49" s="270"/>
      <c r="FE49" s="270"/>
      <c r="FF49" s="270"/>
      <c r="FG49" s="270"/>
      <c r="FH49" s="270"/>
      <c r="FI49" s="270"/>
      <c r="FJ49" s="270"/>
      <c r="FK49" s="270"/>
      <c r="FL49" s="270"/>
      <c r="FM49" s="270"/>
      <c r="FN49" s="270"/>
      <c r="FO49" s="270"/>
      <c r="FP49" s="270"/>
      <c r="FQ49" s="270"/>
      <c r="FR49" s="270"/>
      <c r="FS49" s="270"/>
      <c r="FT49" s="270"/>
      <c r="FU49" s="270"/>
      <c r="FV49" s="270"/>
      <c r="FW49" s="270"/>
      <c r="FX49" s="270"/>
      <c r="FY49" s="270"/>
      <c r="FZ49" s="270"/>
      <c r="GA49" s="270"/>
      <c r="GB49" s="270"/>
      <c r="GC49" s="270"/>
      <c r="GD49" s="270"/>
      <c r="GE49" s="270"/>
      <c r="GF49" s="270"/>
      <c r="GG49" s="270"/>
      <c r="GH49" s="270"/>
      <c r="GI49" s="270"/>
      <c r="GJ49" s="270"/>
      <c r="GK49" s="270"/>
      <c r="GL49" s="270"/>
      <c r="GM49" s="270"/>
      <c r="GN49" s="270"/>
      <c r="GO49" s="270"/>
      <c r="GP49" s="270"/>
      <c r="GQ49" s="270"/>
      <c r="GR49" s="270"/>
      <c r="GS49" s="270"/>
      <c r="GT49" s="270"/>
      <c r="GU49" s="270"/>
      <c r="GV49" s="270"/>
      <c r="GW49" s="270"/>
      <c r="GX49" s="270"/>
      <c r="GY49" s="270"/>
      <c r="GZ49" s="270"/>
      <c r="HA49" s="270"/>
      <c r="HB49" s="270"/>
      <c r="HC49" s="270"/>
      <c r="HD49" s="270"/>
      <c r="HE49" s="270"/>
      <c r="HF49" s="270"/>
      <c r="HG49" s="270"/>
      <c r="HH49" s="270"/>
      <c r="HI49" s="270"/>
      <c r="HJ49" s="270"/>
      <c r="HK49" s="270"/>
      <c r="HL49" s="270"/>
      <c r="HM49" s="270"/>
      <c r="HN49" s="270"/>
      <c r="HO49" s="270"/>
      <c r="HP49" s="270"/>
      <c r="HQ49" s="270"/>
      <c r="HR49" s="270"/>
      <c r="HS49" s="270"/>
      <c r="HT49" s="270"/>
      <c r="HU49" s="270"/>
      <c r="HV49" s="270"/>
      <c r="HW49" s="270"/>
      <c r="HX49" s="270"/>
      <c r="HY49" s="270"/>
      <c r="HZ49" s="270"/>
      <c r="IA49" s="270"/>
      <c r="IB49" s="270"/>
      <c r="IC49" s="270"/>
      <c r="ID49" s="270"/>
      <c r="IE49" s="270"/>
      <c r="IF49" s="270"/>
      <c r="IG49" s="270"/>
      <c r="IH49" s="270"/>
      <c r="II49" s="270"/>
      <c r="IJ49" s="270"/>
      <c r="IK49" s="270"/>
      <c r="IL49" s="270"/>
      <c r="IM49" s="270"/>
      <c r="IN49" s="270"/>
      <c r="IO49" s="270"/>
      <c r="IP49" s="270"/>
      <c r="IQ49" s="270"/>
      <c r="IR49" s="270"/>
      <c r="IS49" s="270"/>
      <c r="IT49" s="270"/>
      <c r="IU49" s="270"/>
      <c r="IV49" s="270"/>
    </row>
    <row r="50" spans="1:256" ht="18.75" customHeight="1" x14ac:dyDescent="0.25">
      <c r="A50" s="263" t="s">
        <v>749</v>
      </c>
      <c r="B50" s="273" t="s">
        <v>471</v>
      </c>
      <c r="C50" s="278" t="s">
        <v>919</v>
      </c>
      <c r="D50" s="259"/>
      <c r="E50" s="260">
        <f>+INDEX(Sheet1!A:D,MATCH(MapaIII!C50,Sheet1!A:A,0),2)</f>
        <v>12000000</v>
      </c>
      <c r="F50" s="260">
        <f t="shared" si="13"/>
        <v>12000000</v>
      </c>
      <c r="G50" s="266">
        <f t="shared" si="14"/>
        <v>2.6332815891306666E-2</v>
      </c>
      <c r="H50" s="107"/>
      <c r="I50" s="270"/>
      <c r="J50" s="270"/>
      <c r="K50" s="270"/>
      <c r="L50" s="267"/>
      <c r="M50" s="270"/>
      <c r="N50" s="268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70"/>
      <c r="AR50" s="270"/>
      <c r="AS50" s="270"/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270"/>
      <c r="BI50" s="270"/>
      <c r="BJ50" s="270"/>
      <c r="BK50" s="270"/>
      <c r="BL50" s="270"/>
      <c r="BM50" s="270"/>
      <c r="BN50" s="270"/>
      <c r="BO50" s="270"/>
      <c r="BP50" s="270"/>
      <c r="BQ50" s="270"/>
      <c r="BR50" s="270"/>
      <c r="BS50" s="270"/>
      <c r="BT50" s="270"/>
      <c r="BU50" s="270"/>
      <c r="BV50" s="270"/>
      <c r="BW50" s="270"/>
      <c r="BX50" s="270"/>
      <c r="BY50" s="270"/>
      <c r="BZ50" s="270"/>
      <c r="CA50" s="270"/>
      <c r="CB50" s="270"/>
      <c r="CC50" s="270"/>
      <c r="CD50" s="270"/>
      <c r="CE50" s="270"/>
      <c r="CF50" s="270"/>
      <c r="CG50" s="270"/>
      <c r="CH50" s="270"/>
      <c r="CI50" s="270"/>
      <c r="CJ50" s="270"/>
      <c r="CK50" s="270"/>
      <c r="CL50" s="270"/>
      <c r="CM50" s="270"/>
      <c r="CN50" s="270"/>
      <c r="CO50" s="270"/>
      <c r="CP50" s="270"/>
      <c r="CQ50" s="270"/>
      <c r="CR50" s="270"/>
      <c r="CS50" s="270"/>
      <c r="CT50" s="270"/>
      <c r="CU50" s="270"/>
      <c r="CV50" s="270"/>
      <c r="CW50" s="270"/>
      <c r="CX50" s="270"/>
      <c r="CY50" s="270"/>
      <c r="CZ50" s="270"/>
      <c r="DA50" s="270"/>
      <c r="DB50" s="270"/>
      <c r="DC50" s="270"/>
      <c r="DD50" s="270"/>
      <c r="DE50" s="270"/>
      <c r="DF50" s="270"/>
      <c r="DG50" s="270"/>
      <c r="DH50" s="270"/>
      <c r="DI50" s="270"/>
      <c r="DJ50" s="270"/>
      <c r="DK50" s="270"/>
      <c r="DL50" s="270"/>
      <c r="DM50" s="270"/>
      <c r="DN50" s="270"/>
      <c r="DO50" s="270"/>
      <c r="DP50" s="270"/>
      <c r="DQ50" s="270"/>
      <c r="DR50" s="270"/>
      <c r="DS50" s="270"/>
      <c r="DT50" s="270"/>
      <c r="DU50" s="270"/>
      <c r="DV50" s="270"/>
      <c r="DW50" s="270"/>
      <c r="DX50" s="270"/>
      <c r="DY50" s="270"/>
      <c r="DZ50" s="270"/>
      <c r="EA50" s="270"/>
      <c r="EB50" s="270"/>
      <c r="EC50" s="270"/>
      <c r="ED50" s="270"/>
      <c r="EE50" s="270"/>
      <c r="EF50" s="270"/>
      <c r="EG50" s="270"/>
      <c r="EH50" s="270"/>
      <c r="EI50" s="270"/>
      <c r="EJ50" s="270"/>
      <c r="EK50" s="270"/>
      <c r="EL50" s="270"/>
      <c r="EM50" s="270"/>
      <c r="EN50" s="270"/>
      <c r="EO50" s="270"/>
      <c r="EP50" s="270"/>
      <c r="EQ50" s="270"/>
      <c r="ER50" s="270"/>
      <c r="ES50" s="270"/>
      <c r="ET50" s="270"/>
      <c r="EU50" s="270"/>
      <c r="EV50" s="270"/>
      <c r="EW50" s="270"/>
      <c r="EX50" s="270"/>
      <c r="EY50" s="270"/>
      <c r="EZ50" s="270"/>
      <c r="FA50" s="270"/>
      <c r="FB50" s="270"/>
      <c r="FC50" s="270"/>
      <c r="FD50" s="270"/>
      <c r="FE50" s="270"/>
      <c r="FF50" s="270"/>
      <c r="FG50" s="270"/>
      <c r="FH50" s="270"/>
      <c r="FI50" s="270"/>
      <c r="FJ50" s="270"/>
      <c r="FK50" s="270"/>
      <c r="FL50" s="270"/>
      <c r="FM50" s="270"/>
      <c r="FN50" s="270"/>
      <c r="FO50" s="270"/>
      <c r="FP50" s="270"/>
      <c r="FQ50" s="270"/>
      <c r="FR50" s="270"/>
      <c r="FS50" s="270"/>
      <c r="FT50" s="270"/>
      <c r="FU50" s="270"/>
      <c r="FV50" s="270"/>
      <c r="FW50" s="270"/>
      <c r="FX50" s="270"/>
      <c r="FY50" s="270"/>
      <c r="FZ50" s="270"/>
      <c r="GA50" s="270"/>
      <c r="GB50" s="270"/>
      <c r="GC50" s="270"/>
      <c r="GD50" s="270"/>
      <c r="GE50" s="270"/>
      <c r="GF50" s="270"/>
      <c r="GG50" s="270"/>
      <c r="GH50" s="270"/>
      <c r="GI50" s="270"/>
      <c r="GJ50" s="270"/>
      <c r="GK50" s="270"/>
      <c r="GL50" s="270"/>
      <c r="GM50" s="270"/>
      <c r="GN50" s="270"/>
      <c r="GO50" s="270"/>
      <c r="GP50" s="270"/>
      <c r="GQ50" s="270"/>
      <c r="GR50" s="270"/>
      <c r="GS50" s="270"/>
      <c r="GT50" s="270"/>
      <c r="GU50" s="270"/>
      <c r="GV50" s="270"/>
      <c r="GW50" s="270"/>
      <c r="GX50" s="270"/>
      <c r="GY50" s="270"/>
      <c r="GZ50" s="270"/>
      <c r="HA50" s="270"/>
      <c r="HB50" s="270"/>
      <c r="HC50" s="270"/>
      <c r="HD50" s="270"/>
      <c r="HE50" s="270"/>
      <c r="HF50" s="270"/>
      <c r="HG50" s="270"/>
      <c r="HH50" s="270"/>
      <c r="HI50" s="270"/>
      <c r="HJ50" s="270"/>
      <c r="HK50" s="270"/>
      <c r="HL50" s="270"/>
      <c r="HM50" s="270"/>
      <c r="HN50" s="270"/>
      <c r="HO50" s="270"/>
      <c r="HP50" s="270"/>
      <c r="HQ50" s="270"/>
      <c r="HR50" s="270"/>
      <c r="HS50" s="270"/>
      <c r="HT50" s="270"/>
      <c r="HU50" s="270"/>
      <c r="HV50" s="270"/>
      <c r="HW50" s="270"/>
      <c r="HX50" s="270"/>
      <c r="HY50" s="270"/>
      <c r="HZ50" s="270"/>
      <c r="IA50" s="270"/>
      <c r="IB50" s="270"/>
      <c r="IC50" s="270"/>
      <c r="ID50" s="270"/>
      <c r="IE50" s="270"/>
      <c r="IF50" s="270"/>
      <c r="IG50" s="270"/>
      <c r="IH50" s="270"/>
      <c r="II50" s="270"/>
      <c r="IJ50" s="270"/>
      <c r="IK50" s="270"/>
      <c r="IL50" s="270"/>
      <c r="IM50" s="270"/>
      <c r="IN50" s="270"/>
      <c r="IO50" s="270"/>
      <c r="IP50" s="270"/>
      <c r="IQ50" s="270"/>
      <c r="IR50" s="270"/>
      <c r="IS50" s="270"/>
      <c r="IT50" s="270"/>
      <c r="IU50" s="270"/>
      <c r="IV50" s="270"/>
    </row>
    <row r="51" spans="1:256" ht="18.75" customHeight="1" x14ac:dyDescent="0.25">
      <c r="A51" s="263" t="s">
        <v>749</v>
      </c>
      <c r="B51" s="273" t="s">
        <v>471</v>
      </c>
      <c r="C51" s="278" t="s">
        <v>920</v>
      </c>
      <c r="D51" s="259"/>
      <c r="E51" s="260">
        <f>+INDEX(Sheet1!A:D,MATCH(MapaIII!C51,Sheet1!A:A,0),2)</f>
        <v>3500000</v>
      </c>
      <c r="F51" s="260">
        <f t="shared" si="13"/>
        <v>3500000</v>
      </c>
      <c r="G51" s="266">
        <f t="shared" si="14"/>
        <v>7.6804046349644448E-3</v>
      </c>
      <c r="H51" s="107"/>
      <c r="I51" s="270"/>
      <c r="J51" s="270"/>
      <c r="K51" s="270"/>
      <c r="L51" s="267"/>
      <c r="M51" s="270"/>
      <c r="N51" s="268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270"/>
      <c r="BC51" s="270"/>
      <c r="BD51" s="270"/>
      <c r="BE51" s="270"/>
      <c r="BF51" s="270"/>
      <c r="BG51" s="270"/>
      <c r="BH51" s="270"/>
      <c r="BI51" s="270"/>
      <c r="BJ51" s="270"/>
      <c r="BK51" s="270"/>
      <c r="BL51" s="270"/>
      <c r="BM51" s="270"/>
      <c r="BN51" s="270"/>
      <c r="BO51" s="270"/>
      <c r="BP51" s="270"/>
      <c r="BQ51" s="270"/>
      <c r="BR51" s="270"/>
      <c r="BS51" s="270"/>
      <c r="BT51" s="270"/>
      <c r="BU51" s="270"/>
      <c r="BV51" s="270"/>
      <c r="BW51" s="270"/>
      <c r="BX51" s="270"/>
      <c r="BY51" s="270"/>
      <c r="BZ51" s="270"/>
      <c r="CA51" s="270"/>
      <c r="CB51" s="270"/>
      <c r="CC51" s="270"/>
      <c r="CD51" s="270"/>
      <c r="CE51" s="270"/>
      <c r="CF51" s="270"/>
      <c r="CG51" s="270"/>
      <c r="CH51" s="270"/>
      <c r="CI51" s="270"/>
      <c r="CJ51" s="270"/>
      <c r="CK51" s="270"/>
      <c r="CL51" s="270"/>
      <c r="CM51" s="270"/>
      <c r="CN51" s="270"/>
      <c r="CO51" s="270"/>
      <c r="CP51" s="270"/>
      <c r="CQ51" s="270"/>
      <c r="CR51" s="270"/>
      <c r="CS51" s="270"/>
      <c r="CT51" s="270"/>
      <c r="CU51" s="270"/>
      <c r="CV51" s="270"/>
      <c r="CW51" s="270"/>
      <c r="CX51" s="270"/>
      <c r="CY51" s="270"/>
      <c r="CZ51" s="270"/>
      <c r="DA51" s="270"/>
      <c r="DB51" s="270"/>
      <c r="DC51" s="270"/>
      <c r="DD51" s="270"/>
      <c r="DE51" s="270"/>
      <c r="DF51" s="270"/>
      <c r="DG51" s="270"/>
      <c r="DH51" s="270"/>
      <c r="DI51" s="270"/>
      <c r="DJ51" s="270"/>
      <c r="DK51" s="270"/>
      <c r="DL51" s="270"/>
      <c r="DM51" s="270"/>
      <c r="DN51" s="270"/>
      <c r="DO51" s="270"/>
      <c r="DP51" s="270"/>
      <c r="DQ51" s="270"/>
      <c r="DR51" s="270"/>
      <c r="DS51" s="270"/>
      <c r="DT51" s="270"/>
      <c r="DU51" s="270"/>
      <c r="DV51" s="270"/>
      <c r="DW51" s="270"/>
      <c r="DX51" s="270"/>
      <c r="DY51" s="270"/>
      <c r="DZ51" s="270"/>
      <c r="EA51" s="270"/>
      <c r="EB51" s="270"/>
      <c r="EC51" s="270"/>
      <c r="ED51" s="270"/>
      <c r="EE51" s="270"/>
      <c r="EF51" s="270"/>
      <c r="EG51" s="270"/>
      <c r="EH51" s="270"/>
      <c r="EI51" s="270"/>
      <c r="EJ51" s="270"/>
      <c r="EK51" s="270"/>
      <c r="EL51" s="270"/>
      <c r="EM51" s="270"/>
      <c r="EN51" s="270"/>
      <c r="EO51" s="270"/>
      <c r="EP51" s="270"/>
      <c r="EQ51" s="270"/>
      <c r="ER51" s="270"/>
      <c r="ES51" s="270"/>
      <c r="ET51" s="270"/>
      <c r="EU51" s="270"/>
      <c r="EV51" s="270"/>
      <c r="EW51" s="270"/>
      <c r="EX51" s="270"/>
      <c r="EY51" s="270"/>
      <c r="EZ51" s="270"/>
      <c r="FA51" s="270"/>
      <c r="FB51" s="270"/>
      <c r="FC51" s="270"/>
      <c r="FD51" s="270"/>
      <c r="FE51" s="270"/>
      <c r="FF51" s="270"/>
      <c r="FG51" s="270"/>
      <c r="FH51" s="270"/>
      <c r="FI51" s="270"/>
      <c r="FJ51" s="270"/>
      <c r="FK51" s="270"/>
      <c r="FL51" s="270"/>
      <c r="FM51" s="270"/>
      <c r="FN51" s="270"/>
      <c r="FO51" s="270"/>
      <c r="FP51" s="270"/>
      <c r="FQ51" s="270"/>
      <c r="FR51" s="270"/>
      <c r="FS51" s="270"/>
      <c r="FT51" s="270"/>
      <c r="FU51" s="270"/>
      <c r="FV51" s="270"/>
      <c r="FW51" s="270"/>
      <c r="FX51" s="270"/>
      <c r="FY51" s="270"/>
      <c r="FZ51" s="270"/>
      <c r="GA51" s="270"/>
      <c r="GB51" s="270"/>
      <c r="GC51" s="270"/>
      <c r="GD51" s="270"/>
      <c r="GE51" s="270"/>
      <c r="GF51" s="270"/>
      <c r="GG51" s="270"/>
      <c r="GH51" s="270"/>
      <c r="GI51" s="270"/>
      <c r="GJ51" s="270"/>
      <c r="GK51" s="270"/>
      <c r="GL51" s="270"/>
      <c r="GM51" s="270"/>
      <c r="GN51" s="270"/>
      <c r="GO51" s="270"/>
      <c r="GP51" s="270"/>
      <c r="GQ51" s="270"/>
      <c r="GR51" s="270"/>
      <c r="GS51" s="270"/>
      <c r="GT51" s="270"/>
      <c r="GU51" s="270"/>
      <c r="GV51" s="270"/>
      <c r="GW51" s="270"/>
      <c r="GX51" s="270"/>
      <c r="GY51" s="270"/>
      <c r="GZ51" s="270"/>
      <c r="HA51" s="270"/>
      <c r="HB51" s="270"/>
      <c r="HC51" s="270"/>
      <c r="HD51" s="270"/>
      <c r="HE51" s="270"/>
      <c r="HF51" s="270"/>
      <c r="HG51" s="270"/>
      <c r="HH51" s="270"/>
      <c r="HI51" s="270"/>
      <c r="HJ51" s="270"/>
      <c r="HK51" s="270"/>
      <c r="HL51" s="270"/>
      <c r="HM51" s="270"/>
      <c r="HN51" s="270"/>
      <c r="HO51" s="270"/>
      <c r="HP51" s="270"/>
      <c r="HQ51" s="270"/>
      <c r="HR51" s="270"/>
      <c r="HS51" s="270"/>
      <c r="HT51" s="270"/>
      <c r="HU51" s="270"/>
      <c r="HV51" s="270"/>
      <c r="HW51" s="270"/>
      <c r="HX51" s="270"/>
      <c r="HY51" s="270"/>
      <c r="HZ51" s="270"/>
      <c r="IA51" s="270"/>
      <c r="IB51" s="270"/>
      <c r="IC51" s="270"/>
      <c r="ID51" s="270"/>
      <c r="IE51" s="270"/>
      <c r="IF51" s="270"/>
      <c r="IG51" s="270"/>
      <c r="IH51" s="270"/>
      <c r="II51" s="270"/>
      <c r="IJ51" s="270"/>
      <c r="IK51" s="270"/>
      <c r="IL51" s="270"/>
      <c r="IM51" s="270"/>
      <c r="IN51" s="270"/>
      <c r="IO51" s="270"/>
      <c r="IP51" s="270"/>
      <c r="IQ51" s="270"/>
      <c r="IR51" s="270"/>
      <c r="IS51" s="270"/>
      <c r="IT51" s="270"/>
      <c r="IU51" s="270"/>
      <c r="IV51" s="270"/>
    </row>
    <row r="52" spans="1:256" ht="18.75" customHeight="1" x14ac:dyDescent="0.25">
      <c r="A52" s="263" t="s">
        <v>749</v>
      </c>
      <c r="B52" s="273" t="s">
        <v>471</v>
      </c>
      <c r="C52" s="278" t="s">
        <v>921</v>
      </c>
      <c r="D52" s="259"/>
      <c r="E52" s="260">
        <f>+INDEX(Sheet1!A:D,MATCH(MapaIII!C52,Sheet1!A:A,0),2)</f>
        <v>20000000</v>
      </c>
      <c r="F52" s="260">
        <f t="shared" si="13"/>
        <v>20000000</v>
      </c>
      <c r="G52" s="266">
        <f t="shared" si="14"/>
        <v>4.3888026485511114E-2</v>
      </c>
      <c r="H52" s="107"/>
      <c r="I52" s="270"/>
      <c r="J52" s="270"/>
      <c r="K52" s="270"/>
      <c r="L52" s="267"/>
      <c r="M52" s="270"/>
      <c r="N52" s="268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70"/>
      <c r="AR52" s="270"/>
      <c r="AS52" s="270"/>
      <c r="AT52" s="270"/>
      <c r="AU52" s="270"/>
      <c r="AV52" s="270"/>
      <c r="AW52" s="270"/>
      <c r="AX52" s="270"/>
      <c r="AY52" s="270"/>
      <c r="AZ52" s="270"/>
      <c r="BA52" s="270"/>
      <c r="BB52" s="270"/>
      <c r="BC52" s="270"/>
      <c r="BD52" s="270"/>
      <c r="BE52" s="270"/>
      <c r="BF52" s="270"/>
      <c r="BG52" s="270"/>
      <c r="BH52" s="270"/>
      <c r="BI52" s="270"/>
      <c r="BJ52" s="270"/>
      <c r="BK52" s="270"/>
      <c r="BL52" s="270"/>
      <c r="BM52" s="270"/>
      <c r="BN52" s="270"/>
      <c r="BO52" s="270"/>
      <c r="BP52" s="270"/>
      <c r="BQ52" s="270"/>
      <c r="BR52" s="270"/>
      <c r="BS52" s="270"/>
      <c r="BT52" s="270"/>
      <c r="BU52" s="270"/>
      <c r="BV52" s="270"/>
      <c r="BW52" s="270"/>
      <c r="BX52" s="270"/>
      <c r="BY52" s="270"/>
      <c r="BZ52" s="270"/>
      <c r="CA52" s="270"/>
      <c r="CB52" s="270"/>
      <c r="CC52" s="270"/>
      <c r="CD52" s="270"/>
      <c r="CE52" s="270"/>
      <c r="CF52" s="270"/>
      <c r="CG52" s="270"/>
      <c r="CH52" s="270"/>
      <c r="CI52" s="270"/>
      <c r="CJ52" s="270"/>
      <c r="CK52" s="270"/>
      <c r="CL52" s="270"/>
      <c r="CM52" s="270"/>
      <c r="CN52" s="270"/>
      <c r="CO52" s="270"/>
      <c r="CP52" s="270"/>
      <c r="CQ52" s="270"/>
      <c r="CR52" s="270"/>
      <c r="CS52" s="270"/>
      <c r="CT52" s="270"/>
      <c r="CU52" s="270"/>
      <c r="CV52" s="270"/>
      <c r="CW52" s="270"/>
      <c r="CX52" s="270"/>
      <c r="CY52" s="270"/>
      <c r="CZ52" s="270"/>
      <c r="DA52" s="270"/>
      <c r="DB52" s="270"/>
      <c r="DC52" s="270"/>
      <c r="DD52" s="270"/>
      <c r="DE52" s="270"/>
      <c r="DF52" s="270"/>
      <c r="DG52" s="270"/>
      <c r="DH52" s="270"/>
      <c r="DI52" s="270"/>
      <c r="DJ52" s="270"/>
      <c r="DK52" s="270"/>
      <c r="DL52" s="270"/>
      <c r="DM52" s="270"/>
      <c r="DN52" s="270"/>
      <c r="DO52" s="270"/>
      <c r="DP52" s="270"/>
      <c r="DQ52" s="270"/>
      <c r="DR52" s="270"/>
      <c r="DS52" s="270"/>
      <c r="DT52" s="270"/>
      <c r="DU52" s="270"/>
      <c r="DV52" s="270"/>
      <c r="DW52" s="270"/>
      <c r="DX52" s="270"/>
      <c r="DY52" s="270"/>
      <c r="DZ52" s="270"/>
      <c r="EA52" s="270"/>
      <c r="EB52" s="270"/>
      <c r="EC52" s="270"/>
      <c r="ED52" s="270"/>
      <c r="EE52" s="270"/>
      <c r="EF52" s="270"/>
      <c r="EG52" s="270"/>
      <c r="EH52" s="270"/>
      <c r="EI52" s="270"/>
      <c r="EJ52" s="270"/>
      <c r="EK52" s="270"/>
      <c r="EL52" s="270"/>
      <c r="EM52" s="270"/>
      <c r="EN52" s="270"/>
      <c r="EO52" s="270"/>
      <c r="EP52" s="270"/>
      <c r="EQ52" s="270"/>
      <c r="ER52" s="270"/>
      <c r="ES52" s="270"/>
      <c r="ET52" s="270"/>
      <c r="EU52" s="270"/>
      <c r="EV52" s="270"/>
      <c r="EW52" s="270"/>
      <c r="EX52" s="270"/>
      <c r="EY52" s="270"/>
      <c r="EZ52" s="270"/>
      <c r="FA52" s="270"/>
      <c r="FB52" s="270"/>
      <c r="FC52" s="270"/>
      <c r="FD52" s="270"/>
      <c r="FE52" s="270"/>
      <c r="FF52" s="270"/>
      <c r="FG52" s="270"/>
      <c r="FH52" s="270"/>
      <c r="FI52" s="270"/>
      <c r="FJ52" s="270"/>
      <c r="FK52" s="270"/>
      <c r="FL52" s="270"/>
      <c r="FM52" s="270"/>
      <c r="FN52" s="270"/>
      <c r="FO52" s="270"/>
      <c r="FP52" s="270"/>
      <c r="FQ52" s="270"/>
      <c r="FR52" s="270"/>
      <c r="FS52" s="270"/>
      <c r="FT52" s="270"/>
      <c r="FU52" s="270"/>
      <c r="FV52" s="270"/>
      <c r="FW52" s="270"/>
      <c r="FX52" s="270"/>
      <c r="FY52" s="270"/>
      <c r="FZ52" s="270"/>
      <c r="GA52" s="270"/>
      <c r="GB52" s="270"/>
      <c r="GC52" s="270"/>
      <c r="GD52" s="270"/>
      <c r="GE52" s="270"/>
      <c r="GF52" s="270"/>
      <c r="GG52" s="270"/>
      <c r="GH52" s="270"/>
      <c r="GI52" s="270"/>
      <c r="GJ52" s="270"/>
      <c r="GK52" s="270"/>
      <c r="GL52" s="270"/>
      <c r="GM52" s="270"/>
      <c r="GN52" s="270"/>
      <c r="GO52" s="270"/>
      <c r="GP52" s="270"/>
      <c r="GQ52" s="270"/>
      <c r="GR52" s="270"/>
      <c r="GS52" s="270"/>
      <c r="GT52" s="270"/>
      <c r="GU52" s="270"/>
      <c r="GV52" s="270"/>
      <c r="GW52" s="270"/>
      <c r="GX52" s="270"/>
      <c r="GY52" s="270"/>
      <c r="GZ52" s="270"/>
      <c r="HA52" s="270"/>
      <c r="HB52" s="270"/>
      <c r="HC52" s="270"/>
      <c r="HD52" s="270"/>
      <c r="HE52" s="270"/>
      <c r="HF52" s="270"/>
      <c r="HG52" s="270"/>
      <c r="HH52" s="270"/>
      <c r="HI52" s="270"/>
      <c r="HJ52" s="270"/>
      <c r="HK52" s="270"/>
      <c r="HL52" s="270"/>
      <c r="HM52" s="270"/>
      <c r="HN52" s="270"/>
      <c r="HO52" s="270"/>
      <c r="HP52" s="270"/>
      <c r="HQ52" s="270"/>
      <c r="HR52" s="270"/>
      <c r="HS52" s="270"/>
      <c r="HT52" s="270"/>
      <c r="HU52" s="270"/>
      <c r="HV52" s="270"/>
      <c r="HW52" s="270"/>
      <c r="HX52" s="270"/>
      <c r="HY52" s="270"/>
      <c r="HZ52" s="270"/>
      <c r="IA52" s="270"/>
      <c r="IB52" s="270"/>
      <c r="IC52" s="270"/>
      <c r="ID52" s="270"/>
      <c r="IE52" s="270"/>
      <c r="IF52" s="270"/>
      <c r="IG52" s="270"/>
      <c r="IH52" s="270"/>
      <c r="II52" s="270"/>
      <c r="IJ52" s="270"/>
      <c r="IK52" s="270"/>
      <c r="IL52" s="270"/>
      <c r="IM52" s="270"/>
      <c r="IN52" s="270"/>
      <c r="IO52" s="270"/>
      <c r="IP52" s="270"/>
      <c r="IQ52" s="270"/>
      <c r="IR52" s="270"/>
      <c r="IS52" s="270"/>
      <c r="IT52" s="270"/>
      <c r="IU52" s="270"/>
      <c r="IV52" s="270"/>
    </row>
    <row r="53" spans="1:256" ht="18.75" customHeight="1" x14ac:dyDescent="0.25">
      <c r="A53" s="263" t="s">
        <v>749</v>
      </c>
      <c r="B53" s="273" t="s">
        <v>471</v>
      </c>
      <c r="C53" s="278" t="s">
        <v>1029</v>
      </c>
      <c r="D53" s="259"/>
      <c r="E53" s="260">
        <f>+INDEX(Sheet1!A:D,MATCH(MapaIII!C53,Sheet1!A:A,0),2)</f>
        <v>1500000</v>
      </c>
      <c r="F53" s="260">
        <f t="shared" si="13"/>
        <v>1500000</v>
      </c>
      <c r="G53" s="266">
        <f t="shared" si="14"/>
        <v>3.2916019864133333E-3</v>
      </c>
      <c r="H53" s="107"/>
      <c r="I53" s="270"/>
      <c r="J53" s="270"/>
      <c r="K53" s="270"/>
      <c r="L53" s="267"/>
      <c r="M53" s="270"/>
      <c r="N53" s="268"/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70"/>
      <c r="AR53" s="270"/>
      <c r="AS53" s="270"/>
      <c r="AT53" s="270"/>
      <c r="AU53" s="270"/>
      <c r="AV53" s="270"/>
      <c r="AW53" s="270"/>
      <c r="AX53" s="270"/>
      <c r="AY53" s="270"/>
      <c r="AZ53" s="270"/>
      <c r="BA53" s="270"/>
      <c r="BB53" s="270"/>
      <c r="BC53" s="270"/>
      <c r="BD53" s="270"/>
      <c r="BE53" s="270"/>
      <c r="BF53" s="270"/>
      <c r="BG53" s="270"/>
      <c r="BH53" s="270"/>
      <c r="BI53" s="270"/>
      <c r="BJ53" s="270"/>
      <c r="BK53" s="270"/>
      <c r="BL53" s="270"/>
      <c r="BM53" s="270"/>
      <c r="BN53" s="270"/>
      <c r="BO53" s="270"/>
      <c r="BP53" s="270"/>
      <c r="BQ53" s="270"/>
      <c r="BR53" s="270"/>
      <c r="BS53" s="270"/>
      <c r="BT53" s="270"/>
      <c r="BU53" s="270"/>
      <c r="BV53" s="270"/>
      <c r="BW53" s="270"/>
      <c r="BX53" s="270"/>
      <c r="BY53" s="270"/>
      <c r="BZ53" s="270"/>
      <c r="CA53" s="270"/>
      <c r="CB53" s="270"/>
      <c r="CC53" s="270"/>
      <c r="CD53" s="270"/>
      <c r="CE53" s="270"/>
      <c r="CF53" s="270"/>
      <c r="CG53" s="270"/>
      <c r="CH53" s="270"/>
      <c r="CI53" s="270"/>
      <c r="CJ53" s="270"/>
      <c r="CK53" s="270"/>
      <c r="CL53" s="270"/>
      <c r="CM53" s="270"/>
      <c r="CN53" s="270"/>
      <c r="CO53" s="270"/>
      <c r="CP53" s="270"/>
      <c r="CQ53" s="270"/>
      <c r="CR53" s="270"/>
      <c r="CS53" s="270"/>
      <c r="CT53" s="270"/>
      <c r="CU53" s="270"/>
      <c r="CV53" s="270"/>
      <c r="CW53" s="270"/>
      <c r="CX53" s="270"/>
      <c r="CY53" s="270"/>
      <c r="CZ53" s="270"/>
      <c r="DA53" s="270"/>
      <c r="DB53" s="270"/>
      <c r="DC53" s="270"/>
      <c r="DD53" s="270"/>
      <c r="DE53" s="270"/>
      <c r="DF53" s="270"/>
      <c r="DG53" s="270"/>
      <c r="DH53" s="270"/>
      <c r="DI53" s="270"/>
      <c r="DJ53" s="270"/>
      <c r="DK53" s="270"/>
      <c r="DL53" s="270"/>
      <c r="DM53" s="270"/>
      <c r="DN53" s="270"/>
      <c r="DO53" s="270"/>
      <c r="DP53" s="270"/>
      <c r="DQ53" s="270"/>
      <c r="DR53" s="270"/>
      <c r="DS53" s="270"/>
      <c r="DT53" s="270"/>
      <c r="DU53" s="270"/>
      <c r="DV53" s="270"/>
      <c r="DW53" s="270"/>
      <c r="DX53" s="270"/>
      <c r="DY53" s="270"/>
      <c r="DZ53" s="270"/>
      <c r="EA53" s="270"/>
      <c r="EB53" s="270"/>
      <c r="EC53" s="270"/>
      <c r="ED53" s="270"/>
      <c r="EE53" s="270"/>
      <c r="EF53" s="270"/>
      <c r="EG53" s="270"/>
      <c r="EH53" s="270"/>
      <c r="EI53" s="270"/>
      <c r="EJ53" s="270"/>
      <c r="EK53" s="270"/>
      <c r="EL53" s="270"/>
      <c r="EM53" s="270"/>
      <c r="EN53" s="270"/>
      <c r="EO53" s="270"/>
      <c r="EP53" s="270"/>
      <c r="EQ53" s="270"/>
      <c r="ER53" s="270"/>
      <c r="ES53" s="270"/>
      <c r="ET53" s="270"/>
      <c r="EU53" s="270"/>
      <c r="EV53" s="270"/>
      <c r="EW53" s="270"/>
      <c r="EX53" s="270"/>
      <c r="EY53" s="270"/>
      <c r="EZ53" s="270"/>
      <c r="FA53" s="270"/>
      <c r="FB53" s="270"/>
      <c r="FC53" s="270"/>
      <c r="FD53" s="270"/>
      <c r="FE53" s="270"/>
      <c r="FF53" s="270"/>
      <c r="FG53" s="270"/>
      <c r="FH53" s="270"/>
      <c r="FI53" s="270"/>
      <c r="FJ53" s="270"/>
      <c r="FK53" s="270"/>
      <c r="FL53" s="270"/>
      <c r="FM53" s="270"/>
      <c r="FN53" s="270"/>
      <c r="FO53" s="270"/>
      <c r="FP53" s="270"/>
      <c r="FQ53" s="270"/>
      <c r="FR53" s="270"/>
      <c r="FS53" s="270"/>
      <c r="FT53" s="270"/>
      <c r="FU53" s="270"/>
      <c r="FV53" s="270"/>
      <c r="FW53" s="270"/>
      <c r="FX53" s="270"/>
      <c r="FY53" s="270"/>
      <c r="FZ53" s="270"/>
      <c r="GA53" s="270"/>
      <c r="GB53" s="270"/>
      <c r="GC53" s="270"/>
      <c r="GD53" s="270"/>
      <c r="GE53" s="270"/>
      <c r="GF53" s="270"/>
      <c r="GG53" s="270"/>
      <c r="GH53" s="270"/>
      <c r="GI53" s="270"/>
      <c r="GJ53" s="270"/>
      <c r="GK53" s="270"/>
      <c r="GL53" s="270"/>
      <c r="GM53" s="270"/>
      <c r="GN53" s="270"/>
      <c r="GO53" s="270"/>
      <c r="GP53" s="270"/>
      <c r="GQ53" s="270"/>
      <c r="GR53" s="270"/>
      <c r="GS53" s="270"/>
      <c r="GT53" s="270"/>
      <c r="GU53" s="270"/>
      <c r="GV53" s="270"/>
      <c r="GW53" s="270"/>
      <c r="GX53" s="270"/>
      <c r="GY53" s="270"/>
      <c r="GZ53" s="270"/>
      <c r="HA53" s="270"/>
      <c r="HB53" s="270"/>
      <c r="HC53" s="270"/>
      <c r="HD53" s="270"/>
      <c r="HE53" s="270"/>
      <c r="HF53" s="270"/>
      <c r="HG53" s="270"/>
      <c r="HH53" s="270"/>
      <c r="HI53" s="270"/>
      <c r="HJ53" s="270"/>
      <c r="HK53" s="270"/>
      <c r="HL53" s="270"/>
      <c r="HM53" s="270"/>
      <c r="HN53" s="270"/>
      <c r="HO53" s="270"/>
      <c r="HP53" s="270"/>
      <c r="HQ53" s="270"/>
      <c r="HR53" s="270"/>
      <c r="HS53" s="270"/>
      <c r="HT53" s="270"/>
      <c r="HU53" s="270"/>
      <c r="HV53" s="270"/>
      <c r="HW53" s="270"/>
      <c r="HX53" s="270"/>
      <c r="HY53" s="270"/>
      <c r="HZ53" s="270"/>
      <c r="IA53" s="270"/>
      <c r="IB53" s="270"/>
      <c r="IC53" s="270"/>
      <c r="ID53" s="270"/>
      <c r="IE53" s="270"/>
      <c r="IF53" s="270"/>
      <c r="IG53" s="270"/>
      <c r="IH53" s="270"/>
      <c r="II53" s="270"/>
      <c r="IJ53" s="270"/>
      <c r="IK53" s="270"/>
      <c r="IL53" s="270"/>
      <c r="IM53" s="270"/>
      <c r="IN53" s="270"/>
      <c r="IO53" s="270"/>
      <c r="IP53" s="270"/>
      <c r="IQ53" s="270"/>
      <c r="IR53" s="270"/>
      <c r="IS53" s="270"/>
      <c r="IT53" s="270"/>
      <c r="IU53" s="270"/>
      <c r="IV53" s="270"/>
    </row>
    <row r="54" spans="1:256" ht="18.75" customHeight="1" x14ac:dyDescent="0.25">
      <c r="A54" s="263" t="s">
        <v>749</v>
      </c>
      <c r="B54" s="273" t="s">
        <v>471</v>
      </c>
      <c r="C54" s="278" t="s">
        <v>923</v>
      </c>
      <c r="D54" s="259"/>
      <c r="E54" s="260">
        <f>+INDEX(Sheet1!A:D,MATCH(MapaIII!C54,Sheet1!A:A,0),2)</f>
        <v>32000000</v>
      </c>
      <c r="F54" s="260">
        <f t="shared" si="13"/>
        <v>32000000</v>
      </c>
      <c r="G54" s="266">
        <f t="shared" si="14"/>
        <v>7.0220842376817777E-2</v>
      </c>
      <c r="H54" s="107"/>
      <c r="I54" s="270"/>
      <c r="J54" s="270"/>
      <c r="K54" s="270"/>
      <c r="L54" s="267"/>
      <c r="M54" s="270"/>
      <c r="N54" s="268"/>
      <c r="O54" s="270"/>
      <c r="P54" s="270"/>
      <c r="Q54" s="270"/>
      <c r="R54" s="270"/>
      <c r="S54" s="270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70"/>
      <c r="AR54" s="270"/>
      <c r="AS54" s="270"/>
      <c r="AT54" s="270"/>
      <c r="AU54" s="270"/>
      <c r="AV54" s="270"/>
      <c r="AW54" s="270"/>
      <c r="AX54" s="270"/>
      <c r="AY54" s="270"/>
      <c r="AZ54" s="270"/>
      <c r="BA54" s="270"/>
      <c r="BB54" s="270"/>
      <c r="BC54" s="270"/>
      <c r="BD54" s="270"/>
      <c r="BE54" s="270"/>
      <c r="BF54" s="270"/>
      <c r="BG54" s="270"/>
      <c r="BH54" s="270"/>
      <c r="BI54" s="270"/>
      <c r="BJ54" s="270"/>
      <c r="BK54" s="270"/>
      <c r="BL54" s="270"/>
      <c r="BM54" s="270"/>
      <c r="BN54" s="270"/>
      <c r="BO54" s="270"/>
      <c r="BP54" s="270"/>
      <c r="BQ54" s="270"/>
      <c r="BR54" s="270"/>
      <c r="BS54" s="270"/>
      <c r="BT54" s="270"/>
      <c r="BU54" s="270"/>
      <c r="BV54" s="270"/>
      <c r="BW54" s="270"/>
      <c r="BX54" s="270"/>
      <c r="BY54" s="270"/>
      <c r="BZ54" s="270"/>
      <c r="CA54" s="270"/>
      <c r="CB54" s="270"/>
      <c r="CC54" s="270"/>
      <c r="CD54" s="270"/>
      <c r="CE54" s="270"/>
      <c r="CF54" s="270"/>
      <c r="CG54" s="270"/>
      <c r="CH54" s="270"/>
      <c r="CI54" s="270"/>
      <c r="CJ54" s="270"/>
      <c r="CK54" s="270"/>
      <c r="CL54" s="270"/>
      <c r="CM54" s="270"/>
      <c r="CN54" s="270"/>
      <c r="CO54" s="270"/>
      <c r="CP54" s="270"/>
      <c r="CQ54" s="270"/>
      <c r="CR54" s="270"/>
      <c r="CS54" s="270"/>
      <c r="CT54" s="270"/>
      <c r="CU54" s="270"/>
      <c r="CV54" s="270"/>
      <c r="CW54" s="270"/>
      <c r="CX54" s="270"/>
      <c r="CY54" s="270"/>
      <c r="CZ54" s="270"/>
      <c r="DA54" s="270"/>
      <c r="DB54" s="270"/>
      <c r="DC54" s="270"/>
      <c r="DD54" s="270"/>
      <c r="DE54" s="270"/>
      <c r="DF54" s="270"/>
      <c r="DG54" s="270"/>
      <c r="DH54" s="270"/>
      <c r="DI54" s="270"/>
      <c r="DJ54" s="270"/>
      <c r="DK54" s="270"/>
      <c r="DL54" s="270"/>
      <c r="DM54" s="270"/>
      <c r="DN54" s="270"/>
      <c r="DO54" s="270"/>
      <c r="DP54" s="270"/>
      <c r="DQ54" s="270"/>
      <c r="DR54" s="270"/>
      <c r="DS54" s="270"/>
      <c r="DT54" s="270"/>
      <c r="DU54" s="270"/>
      <c r="DV54" s="270"/>
      <c r="DW54" s="270"/>
      <c r="DX54" s="270"/>
      <c r="DY54" s="270"/>
      <c r="DZ54" s="270"/>
      <c r="EA54" s="270"/>
      <c r="EB54" s="270"/>
      <c r="EC54" s="270"/>
      <c r="ED54" s="270"/>
      <c r="EE54" s="270"/>
      <c r="EF54" s="270"/>
      <c r="EG54" s="270"/>
      <c r="EH54" s="270"/>
      <c r="EI54" s="270"/>
      <c r="EJ54" s="270"/>
      <c r="EK54" s="270"/>
      <c r="EL54" s="270"/>
      <c r="EM54" s="270"/>
      <c r="EN54" s="270"/>
      <c r="EO54" s="270"/>
      <c r="EP54" s="270"/>
      <c r="EQ54" s="270"/>
      <c r="ER54" s="270"/>
      <c r="ES54" s="270"/>
      <c r="ET54" s="270"/>
      <c r="EU54" s="270"/>
      <c r="EV54" s="270"/>
      <c r="EW54" s="270"/>
      <c r="EX54" s="270"/>
      <c r="EY54" s="270"/>
      <c r="EZ54" s="270"/>
      <c r="FA54" s="270"/>
      <c r="FB54" s="270"/>
      <c r="FC54" s="270"/>
      <c r="FD54" s="270"/>
      <c r="FE54" s="270"/>
      <c r="FF54" s="270"/>
      <c r="FG54" s="270"/>
      <c r="FH54" s="270"/>
      <c r="FI54" s="270"/>
      <c r="FJ54" s="270"/>
      <c r="FK54" s="270"/>
      <c r="FL54" s="270"/>
      <c r="FM54" s="270"/>
      <c r="FN54" s="270"/>
      <c r="FO54" s="270"/>
      <c r="FP54" s="270"/>
      <c r="FQ54" s="270"/>
      <c r="FR54" s="270"/>
      <c r="FS54" s="270"/>
      <c r="FT54" s="270"/>
      <c r="FU54" s="270"/>
      <c r="FV54" s="270"/>
      <c r="FW54" s="270"/>
      <c r="FX54" s="270"/>
      <c r="FY54" s="270"/>
      <c r="FZ54" s="270"/>
      <c r="GA54" s="270"/>
      <c r="GB54" s="270"/>
      <c r="GC54" s="270"/>
      <c r="GD54" s="270"/>
      <c r="GE54" s="270"/>
      <c r="GF54" s="270"/>
      <c r="GG54" s="270"/>
      <c r="GH54" s="270"/>
      <c r="GI54" s="270"/>
      <c r="GJ54" s="270"/>
      <c r="GK54" s="270"/>
      <c r="GL54" s="270"/>
      <c r="GM54" s="270"/>
      <c r="GN54" s="270"/>
      <c r="GO54" s="270"/>
      <c r="GP54" s="270"/>
      <c r="GQ54" s="270"/>
      <c r="GR54" s="270"/>
      <c r="GS54" s="270"/>
      <c r="GT54" s="270"/>
      <c r="GU54" s="270"/>
      <c r="GV54" s="270"/>
      <c r="GW54" s="270"/>
      <c r="GX54" s="270"/>
      <c r="GY54" s="270"/>
      <c r="GZ54" s="270"/>
      <c r="HA54" s="270"/>
      <c r="HB54" s="270"/>
      <c r="HC54" s="270"/>
      <c r="HD54" s="270"/>
      <c r="HE54" s="270"/>
      <c r="HF54" s="270"/>
      <c r="HG54" s="270"/>
      <c r="HH54" s="270"/>
      <c r="HI54" s="270"/>
      <c r="HJ54" s="270"/>
      <c r="HK54" s="270"/>
      <c r="HL54" s="270"/>
      <c r="HM54" s="270"/>
      <c r="HN54" s="270"/>
      <c r="HO54" s="270"/>
      <c r="HP54" s="270"/>
      <c r="HQ54" s="270"/>
      <c r="HR54" s="270"/>
      <c r="HS54" s="270"/>
      <c r="HT54" s="270"/>
      <c r="HU54" s="270"/>
      <c r="HV54" s="270"/>
      <c r="HW54" s="270"/>
      <c r="HX54" s="270"/>
      <c r="HY54" s="270"/>
      <c r="HZ54" s="270"/>
      <c r="IA54" s="270"/>
      <c r="IB54" s="270"/>
      <c r="IC54" s="270"/>
      <c r="ID54" s="270"/>
      <c r="IE54" s="270"/>
      <c r="IF54" s="270"/>
      <c r="IG54" s="270"/>
      <c r="IH54" s="270"/>
      <c r="II54" s="270"/>
      <c r="IJ54" s="270"/>
      <c r="IK54" s="270"/>
      <c r="IL54" s="270"/>
      <c r="IM54" s="270"/>
      <c r="IN54" s="270"/>
      <c r="IO54" s="270"/>
      <c r="IP54" s="270"/>
      <c r="IQ54" s="270"/>
      <c r="IR54" s="270"/>
      <c r="IS54" s="270"/>
      <c r="IT54" s="270"/>
      <c r="IU54" s="270"/>
      <c r="IV54" s="270"/>
    </row>
    <row r="55" spans="1:256" ht="18.75" customHeight="1" x14ac:dyDescent="0.25">
      <c r="A55" s="263" t="s">
        <v>749</v>
      </c>
      <c r="B55" s="273" t="s">
        <v>471</v>
      </c>
      <c r="C55" s="278" t="s">
        <v>924</v>
      </c>
      <c r="D55" s="259"/>
      <c r="E55" s="260">
        <f>+INDEX(Sheet1!A:D,MATCH(MapaIII!C55,Sheet1!A:A,0),2)</f>
        <v>14500000</v>
      </c>
      <c r="F55" s="260">
        <f t="shared" si="13"/>
        <v>14500000</v>
      </c>
      <c r="G55" s="266">
        <f t="shared" si="14"/>
        <v>3.1818819201995557E-2</v>
      </c>
      <c r="H55" s="107"/>
      <c r="I55" s="270"/>
      <c r="J55" s="270"/>
      <c r="K55" s="270"/>
      <c r="L55" s="267"/>
      <c r="M55" s="270"/>
      <c r="N55" s="268"/>
      <c r="O55" s="270"/>
      <c r="P55" s="270"/>
      <c r="Q55" s="270"/>
      <c r="R55" s="270"/>
      <c r="S55" s="270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0"/>
      <c r="AM55" s="270"/>
      <c r="AN55" s="270"/>
      <c r="AO55" s="270"/>
      <c r="AP55" s="270"/>
      <c r="AQ55" s="270"/>
      <c r="AR55" s="270"/>
      <c r="AS55" s="270"/>
      <c r="AT55" s="270"/>
      <c r="AU55" s="270"/>
      <c r="AV55" s="270"/>
      <c r="AW55" s="270"/>
      <c r="AX55" s="270"/>
      <c r="AY55" s="270"/>
      <c r="AZ55" s="270"/>
      <c r="BA55" s="270"/>
      <c r="BB55" s="270"/>
      <c r="BC55" s="270"/>
      <c r="BD55" s="270"/>
      <c r="BE55" s="270"/>
      <c r="BF55" s="270"/>
      <c r="BG55" s="270"/>
      <c r="BH55" s="270"/>
      <c r="BI55" s="270"/>
      <c r="BJ55" s="270"/>
      <c r="BK55" s="270"/>
      <c r="BL55" s="270"/>
      <c r="BM55" s="270"/>
      <c r="BN55" s="270"/>
      <c r="BO55" s="270"/>
      <c r="BP55" s="270"/>
      <c r="BQ55" s="270"/>
      <c r="BR55" s="270"/>
      <c r="BS55" s="270"/>
      <c r="BT55" s="270"/>
      <c r="BU55" s="270"/>
      <c r="BV55" s="270"/>
      <c r="BW55" s="270"/>
      <c r="BX55" s="270"/>
      <c r="BY55" s="270"/>
      <c r="BZ55" s="270"/>
      <c r="CA55" s="270"/>
      <c r="CB55" s="270"/>
      <c r="CC55" s="270"/>
      <c r="CD55" s="270"/>
      <c r="CE55" s="270"/>
      <c r="CF55" s="270"/>
      <c r="CG55" s="270"/>
      <c r="CH55" s="270"/>
      <c r="CI55" s="270"/>
      <c r="CJ55" s="270"/>
      <c r="CK55" s="270"/>
      <c r="CL55" s="270"/>
      <c r="CM55" s="270"/>
      <c r="CN55" s="270"/>
      <c r="CO55" s="270"/>
      <c r="CP55" s="270"/>
      <c r="CQ55" s="270"/>
      <c r="CR55" s="270"/>
      <c r="CS55" s="270"/>
      <c r="CT55" s="270"/>
      <c r="CU55" s="270"/>
      <c r="CV55" s="270"/>
      <c r="CW55" s="270"/>
      <c r="CX55" s="270"/>
      <c r="CY55" s="270"/>
      <c r="CZ55" s="270"/>
      <c r="DA55" s="270"/>
      <c r="DB55" s="270"/>
      <c r="DC55" s="270"/>
      <c r="DD55" s="270"/>
      <c r="DE55" s="270"/>
      <c r="DF55" s="270"/>
      <c r="DG55" s="270"/>
      <c r="DH55" s="270"/>
      <c r="DI55" s="270"/>
      <c r="DJ55" s="270"/>
      <c r="DK55" s="270"/>
      <c r="DL55" s="270"/>
      <c r="DM55" s="270"/>
      <c r="DN55" s="270"/>
      <c r="DO55" s="270"/>
      <c r="DP55" s="270"/>
      <c r="DQ55" s="270"/>
      <c r="DR55" s="270"/>
      <c r="DS55" s="270"/>
      <c r="DT55" s="270"/>
      <c r="DU55" s="270"/>
      <c r="DV55" s="270"/>
      <c r="DW55" s="270"/>
      <c r="DX55" s="270"/>
      <c r="DY55" s="270"/>
      <c r="DZ55" s="270"/>
      <c r="EA55" s="270"/>
      <c r="EB55" s="270"/>
      <c r="EC55" s="270"/>
      <c r="ED55" s="270"/>
      <c r="EE55" s="270"/>
      <c r="EF55" s="270"/>
      <c r="EG55" s="270"/>
      <c r="EH55" s="270"/>
      <c r="EI55" s="270"/>
      <c r="EJ55" s="270"/>
      <c r="EK55" s="270"/>
      <c r="EL55" s="270"/>
      <c r="EM55" s="270"/>
      <c r="EN55" s="270"/>
      <c r="EO55" s="270"/>
      <c r="EP55" s="270"/>
      <c r="EQ55" s="270"/>
      <c r="ER55" s="270"/>
      <c r="ES55" s="270"/>
      <c r="ET55" s="270"/>
      <c r="EU55" s="270"/>
      <c r="EV55" s="270"/>
      <c r="EW55" s="270"/>
      <c r="EX55" s="270"/>
      <c r="EY55" s="270"/>
      <c r="EZ55" s="270"/>
      <c r="FA55" s="270"/>
      <c r="FB55" s="270"/>
      <c r="FC55" s="270"/>
      <c r="FD55" s="270"/>
      <c r="FE55" s="270"/>
      <c r="FF55" s="270"/>
      <c r="FG55" s="270"/>
      <c r="FH55" s="270"/>
      <c r="FI55" s="270"/>
      <c r="FJ55" s="270"/>
      <c r="FK55" s="270"/>
      <c r="FL55" s="270"/>
      <c r="FM55" s="270"/>
      <c r="FN55" s="270"/>
      <c r="FO55" s="270"/>
      <c r="FP55" s="270"/>
      <c r="FQ55" s="270"/>
      <c r="FR55" s="270"/>
      <c r="FS55" s="270"/>
      <c r="FT55" s="270"/>
      <c r="FU55" s="270"/>
      <c r="FV55" s="270"/>
      <c r="FW55" s="270"/>
      <c r="FX55" s="270"/>
      <c r="FY55" s="270"/>
      <c r="FZ55" s="270"/>
      <c r="GA55" s="270"/>
      <c r="GB55" s="270"/>
      <c r="GC55" s="270"/>
      <c r="GD55" s="270"/>
      <c r="GE55" s="270"/>
      <c r="GF55" s="270"/>
      <c r="GG55" s="270"/>
      <c r="GH55" s="270"/>
      <c r="GI55" s="270"/>
      <c r="GJ55" s="270"/>
      <c r="GK55" s="270"/>
      <c r="GL55" s="270"/>
      <c r="GM55" s="270"/>
      <c r="GN55" s="270"/>
      <c r="GO55" s="270"/>
      <c r="GP55" s="270"/>
      <c r="GQ55" s="270"/>
      <c r="GR55" s="270"/>
      <c r="GS55" s="270"/>
      <c r="GT55" s="270"/>
      <c r="GU55" s="270"/>
      <c r="GV55" s="270"/>
      <c r="GW55" s="270"/>
      <c r="GX55" s="270"/>
      <c r="GY55" s="270"/>
      <c r="GZ55" s="270"/>
      <c r="HA55" s="270"/>
      <c r="HB55" s="270"/>
      <c r="HC55" s="270"/>
      <c r="HD55" s="270"/>
      <c r="HE55" s="270"/>
      <c r="HF55" s="270"/>
      <c r="HG55" s="270"/>
      <c r="HH55" s="270"/>
      <c r="HI55" s="270"/>
      <c r="HJ55" s="270"/>
      <c r="HK55" s="270"/>
      <c r="HL55" s="270"/>
      <c r="HM55" s="270"/>
      <c r="HN55" s="270"/>
      <c r="HO55" s="270"/>
      <c r="HP55" s="270"/>
      <c r="HQ55" s="270"/>
      <c r="HR55" s="270"/>
      <c r="HS55" s="270"/>
      <c r="HT55" s="270"/>
      <c r="HU55" s="270"/>
      <c r="HV55" s="270"/>
      <c r="HW55" s="270"/>
      <c r="HX55" s="270"/>
      <c r="HY55" s="270"/>
      <c r="HZ55" s="270"/>
      <c r="IA55" s="270"/>
      <c r="IB55" s="270"/>
      <c r="IC55" s="270"/>
      <c r="ID55" s="270"/>
      <c r="IE55" s="270"/>
      <c r="IF55" s="270"/>
      <c r="IG55" s="270"/>
      <c r="IH55" s="270"/>
      <c r="II55" s="270"/>
      <c r="IJ55" s="270"/>
      <c r="IK55" s="270"/>
      <c r="IL55" s="270"/>
      <c r="IM55" s="270"/>
      <c r="IN55" s="270"/>
      <c r="IO55" s="270"/>
      <c r="IP55" s="270"/>
      <c r="IQ55" s="270"/>
      <c r="IR55" s="270"/>
      <c r="IS55" s="270"/>
      <c r="IT55" s="270"/>
      <c r="IU55" s="270"/>
      <c r="IV55" s="270"/>
    </row>
    <row r="56" spans="1:256" ht="18.75" customHeight="1" x14ac:dyDescent="0.25">
      <c r="A56" s="263" t="s">
        <v>749</v>
      </c>
      <c r="B56" s="273" t="s">
        <v>471</v>
      </c>
      <c r="C56" s="278" t="s">
        <v>925</v>
      </c>
      <c r="D56" s="259"/>
      <c r="E56" s="260">
        <f>+INDEX(Sheet1!A:D,MATCH(MapaIII!C56,Sheet1!A:A,0),2)</f>
        <v>2000000</v>
      </c>
      <c r="F56" s="260">
        <f t="shared" si="13"/>
        <v>2000000</v>
      </c>
      <c r="G56" s="266">
        <f t="shared" si="14"/>
        <v>4.3888026485511111E-3</v>
      </c>
      <c r="H56" s="107"/>
      <c r="I56" s="270"/>
      <c r="J56" s="270"/>
      <c r="K56" s="270"/>
      <c r="L56" s="267"/>
      <c r="M56" s="270"/>
      <c r="N56" s="268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70"/>
      <c r="AR56" s="270"/>
      <c r="AS56" s="270"/>
      <c r="AT56" s="270"/>
      <c r="AU56" s="270"/>
      <c r="AV56" s="270"/>
      <c r="AW56" s="270"/>
      <c r="AX56" s="270"/>
      <c r="AY56" s="270"/>
      <c r="AZ56" s="270"/>
      <c r="BA56" s="270"/>
      <c r="BB56" s="270"/>
      <c r="BC56" s="270"/>
      <c r="BD56" s="270"/>
      <c r="BE56" s="270"/>
      <c r="BF56" s="270"/>
      <c r="BG56" s="270"/>
      <c r="BH56" s="270"/>
      <c r="BI56" s="270"/>
      <c r="BJ56" s="270"/>
      <c r="BK56" s="270"/>
      <c r="BL56" s="270"/>
      <c r="BM56" s="270"/>
      <c r="BN56" s="270"/>
      <c r="BO56" s="270"/>
      <c r="BP56" s="270"/>
      <c r="BQ56" s="270"/>
      <c r="BR56" s="270"/>
      <c r="BS56" s="270"/>
      <c r="BT56" s="270"/>
      <c r="BU56" s="270"/>
      <c r="BV56" s="270"/>
      <c r="BW56" s="270"/>
      <c r="BX56" s="270"/>
      <c r="BY56" s="270"/>
      <c r="BZ56" s="270"/>
      <c r="CA56" s="270"/>
      <c r="CB56" s="270"/>
      <c r="CC56" s="270"/>
      <c r="CD56" s="270"/>
      <c r="CE56" s="270"/>
      <c r="CF56" s="270"/>
      <c r="CG56" s="270"/>
      <c r="CH56" s="270"/>
      <c r="CI56" s="270"/>
      <c r="CJ56" s="270"/>
      <c r="CK56" s="270"/>
      <c r="CL56" s="270"/>
      <c r="CM56" s="270"/>
      <c r="CN56" s="270"/>
      <c r="CO56" s="270"/>
      <c r="CP56" s="270"/>
      <c r="CQ56" s="270"/>
      <c r="CR56" s="270"/>
      <c r="CS56" s="270"/>
      <c r="CT56" s="270"/>
      <c r="CU56" s="270"/>
      <c r="CV56" s="270"/>
      <c r="CW56" s="270"/>
      <c r="CX56" s="270"/>
      <c r="CY56" s="270"/>
      <c r="CZ56" s="270"/>
      <c r="DA56" s="270"/>
      <c r="DB56" s="270"/>
      <c r="DC56" s="270"/>
      <c r="DD56" s="270"/>
      <c r="DE56" s="270"/>
      <c r="DF56" s="270"/>
      <c r="DG56" s="270"/>
      <c r="DH56" s="270"/>
      <c r="DI56" s="270"/>
      <c r="DJ56" s="270"/>
      <c r="DK56" s="270"/>
      <c r="DL56" s="270"/>
      <c r="DM56" s="270"/>
      <c r="DN56" s="270"/>
      <c r="DO56" s="270"/>
      <c r="DP56" s="270"/>
      <c r="DQ56" s="270"/>
      <c r="DR56" s="270"/>
      <c r="DS56" s="270"/>
      <c r="DT56" s="270"/>
      <c r="DU56" s="270"/>
      <c r="DV56" s="270"/>
      <c r="DW56" s="270"/>
      <c r="DX56" s="270"/>
      <c r="DY56" s="270"/>
      <c r="DZ56" s="270"/>
      <c r="EA56" s="270"/>
      <c r="EB56" s="270"/>
      <c r="EC56" s="270"/>
      <c r="ED56" s="270"/>
      <c r="EE56" s="270"/>
      <c r="EF56" s="270"/>
      <c r="EG56" s="270"/>
      <c r="EH56" s="270"/>
      <c r="EI56" s="270"/>
      <c r="EJ56" s="270"/>
      <c r="EK56" s="270"/>
      <c r="EL56" s="270"/>
      <c r="EM56" s="270"/>
      <c r="EN56" s="270"/>
      <c r="EO56" s="270"/>
      <c r="EP56" s="270"/>
      <c r="EQ56" s="270"/>
      <c r="ER56" s="270"/>
      <c r="ES56" s="270"/>
      <c r="ET56" s="270"/>
      <c r="EU56" s="270"/>
      <c r="EV56" s="270"/>
      <c r="EW56" s="270"/>
      <c r="EX56" s="270"/>
      <c r="EY56" s="270"/>
      <c r="EZ56" s="270"/>
      <c r="FA56" s="270"/>
      <c r="FB56" s="270"/>
      <c r="FC56" s="270"/>
      <c r="FD56" s="270"/>
      <c r="FE56" s="270"/>
      <c r="FF56" s="270"/>
      <c r="FG56" s="270"/>
      <c r="FH56" s="270"/>
      <c r="FI56" s="270"/>
      <c r="FJ56" s="270"/>
      <c r="FK56" s="270"/>
      <c r="FL56" s="270"/>
      <c r="FM56" s="270"/>
      <c r="FN56" s="270"/>
      <c r="FO56" s="270"/>
      <c r="FP56" s="270"/>
      <c r="FQ56" s="270"/>
      <c r="FR56" s="270"/>
      <c r="FS56" s="270"/>
      <c r="FT56" s="270"/>
      <c r="FU56" s="270"/>
      <c r="FV56" s="270"/>
      <c r="FW56" s="270"/>
      <c r="FX56" s="270"/>
      <c r="FY56" s="270"/>
      <c r="FZ56" s="270"/>
      <c r="GA56" s="270"/>
      <c r="GB56" s="270"/>
      <c r="GC56" s="270"/>
      <c r="GD56" s="270"/>
      <c r="GE56" s="270"/>
      <c r="GF56" s="270"/>
      <c r="GG56" s="270"/>
      <c r="GH56" s="270"/>
      <c r="GI56" s="270"/>
      <c r="GJ56" s="270"/>
      <c r="GK56" s="270"/>
      <c r="GL56" s="270"/>
      <c r="GM56" s="270"/>
      <c r="GN56" s="270"/>
      <c r="GO56" s="270"/>
      <c r="GP56" s="270"/>
      <c r="GQ56" s="270"/>
      <c r="GR56" s="270"/>
      <c r="GS56" s="270"/>
      <c r="GT56" s="270"/>
      <c r="GU56" s="270"/>
      <c r="GV56" s="270"/>
      <c r="GW56" s="270"/>
      <c r="GX56" s="270"/>
      <c r="GY56" s="270"/>
      <c r="GZ56" s="270"/>
      <c r="HA56" s="270"/>
      <c r="HB56" s="270"/>
      <c r="HC56" s="270"/>
      <c r="HD56" s="270"/>
      <c r="HE56" s="270"/>
      <c r="HF56" s="270"/>
      <c r="HG56" s="270"/>
      <c r="HH56" s="270"/>
      <c r="HI56" s="270"/>
      <c r="HJ56" s="270"/>
      <c r="HK56" s="270"/>
      <c r="HL56" s="270"/>
      <c r="HM56" s="270"/>
      <c r="HN56" s="270"/>
      <c r="HO56" s="270"/>
      <c r="HP56" s="270"/>
      <c r="HQ56" s="270"/>
      <c r="HR56" s="270"/>
      <c r="HS56" s="270"/>
      <c r="HT56" s="270"/>
      <c r="HU56" s="270"/>
      <c r="HV56" s="270"/>
      <c r="HW56" s="270"/>
      <c r="HX56" s="270"/>
      <c r="HY56" s="270"/>
      <c r="HZ56" s="270"/>
      <c r="IA56" s="270"/>
      <c r="IB56" s="270"/>
      <c r="IC56" s="270"/>
      <c r="ID56" s="270"/>
      <c r="IE56" s="270"/>
      <c r="IF56" s="270"/>
      <c r="IG56" s="270"/>
      <c r="IH56" s="270"/>
      <c r="II56" s="270"/>
      <c r="IJ56" s="270"/>
      <c r="IK56" s="270"/>
      <c r="IL56" s="270"/>
      <c r="IM56" s="270"/>
      <c r="IN56" s="270"/>
      <c r="IO56" s="270"/>
      <c r="IP56" s="270"/>
      <c r="IQ56" s="270"/>
      <c r="IR56" s="270"/>
      <c r="IS56" s="270"/>
      <c r="IT56" s="270"/>
      <c r="IU56" s="270"/>
      <c r="IV56" s="270"/>
    </row>
    <row r="57" spans="1:256" ht="18.75" customHeight="1" x14ac:dyDescent="0.25">
      <c r="A57" s="263" t="s">
        <v>749</v>
      </c>
      <c r="B57" s="273" t="s">
        <v>471</v>
      </c>
      <c r="C57" s="278" t="s">
        <v>1030</v>
      </c>
      <c r="D57" s="259"/>
      <c r="E57" s="260">
        <f>+INDEX(Sheet1!A:D,MATCH(MapaIII!C57,Sheet1!A:A,0),2)</f>
        <v>2500000</v>
      </c>
      <c r="F57" s="260">
        <f t="shared" si="13"/>
        <v>2500000</v>
      </c>
      <c r="G57" s="266">
        <f t="shared" si="14"/>
        <v>5.4860033106888893E-3</v>
      </c>
      <c r="H57" s="107"/>
      <c r="I57" s="270"/>
      <c r="J57" s="270"/>
      <c r="K57" s="270"/>
      <c r="L57" s="267"/>
      <c r="M57" s="270"/>
      <c r="N57" s="268"/>
      <c r="O57" s="270"/>
      <c r="P57" s="270"/>
      <c r="Q57" s="270"/>
      <c r="R57" s="270"/>
      <c r="S57" s="270"/>
      <c r="T57" s="270"/>
      <c r="U57" s="270"/>
      <c r="V57" s="270"/>
      <c r="W57" s="270"/>
      <c r="X57" s="270"/>
      <c r="Y57" s="270"/>
      <c r="Z57" s="270"/>
      <c r="AA57" s="270"/>
      <c r="AB57" s="270"/>
      <c r="AC57" s="270"/>
      <c r="AD57" s="270"/>
      <c r="AE57" s="270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70"/>
      <c r="AQ57" s="270"/>
      <c r="AR57" s="270"/>
      <c r="AS57" s="270"/>
      <c r="AT57" s="270"/>
      <c r="AU57" s="270"/>
      <c r="AV57" s="270"/>
      <c r="AW57" s="270"/>
      <c r="AX57" s="270"/>
      <c r="AY57" s="270"/>
      <c r="AZ57" s="270"/>
      <c r="BA57" s="270"/>
      <c r="BB57" s="270"/>
      <c r="BC57" s="270"/>
      <c r="BD57" s="270"/>
      <c r="BE57" s="270"/>
      <c r="BF57" s="270"/>
      <c r="BG57" s="270"/>
      <c r="BH57" s="270"/>
      <c r="BI57" s="270"/>
      <c r="BJ57" s="270"/>
      <c r="BK57" s="270"/>
      <c r="BL57" s="270"/>
      <c r="BM57" s="270"/>
      <c r="BN57" s="270"/>
      <c r="BO57" s="270"/>
      <c r="BP57" s="270"/>
      <c r="BQ57" s="270"/>
      <c r="BR57" s="270"/>
      <c r="BS57" s="270"/>
      <c r="BT57" s="270"/>
      <c r="BU57" s="270"/>
      <c r="BV57" s="270"/>
      <c r="BW57" s="270"/>
      <c r="BX57" s="270"/>
      <c r="BY57" s="270"/>
      <c r="BZ57" s="270"/>
      <c r="CA57" s="270"/>
      <c r="CB57" s="270"/>
      <c r="CC57" s="270"/>
      <c r="CD57" s="270"/>
      <c r="CE57" s="270"/>
      <c r="CF57" s="270"/>
      <c r="CG57" s="270"/>
      <c r="CH57" s="270"/>
      <c r="CI57" s="270"/>
      <c r="CJ57" s="270"/>
      <c r="CK57" s="270"/>
      <c r="CL57" s="270"/>
      <c r="CM57" s="270"/>
      <c r="CN57" s="270"/>
      <c r="CO57" s="270"/>
      <c r="CP57" s="270"/>
      <c r="CQ57" s="270"/>
      <c r="CR57" s="270"/>
      <c r="CS57" s="270"/>
      <c r="CT57" s="270"/>
      <c r="CU57" s="270"/>
      <c r="CV57" s="270"/>
      <c r="CW57" s="270"/>
      <c r="CX57" s="270"/>
      <c r="CY57" s="270"/>
      <c r="CZ57" s="270"/>
      <c r="DA57" s="270"/>
      <c r="DB57" s="270"/>
      <c r="DC57" s="270"/>
      <c r="DD57" s="270"/>
      <c r="DE57" s="270"/>
      <c r="DF57" s="270"/>
      <c r="DG57" s="270"/>
      <c r="DH57" s="270"/>
      <c r="DI57" s="270"/>
      <c r="DJ57" s="270"/>
      <c r="DK57" s="270"/>
      <c r="DL57" s="270"/>
      <c r="DM57" s="270"/>
      <c r="DN57" s="270"/>
      <c r="DO57" s="270"/>
      <c r="DP57" s="270"/>
      <c r="DQ57" s="270"/>
      <c r="DR57" s="270"/>
      <c r="DS57" s="270"/>
      <c r="DT57" s="270"/>
      <c r="DU57" s="270"/>
      <c r="DV57" s="270"/>
      <c r="DW57" s="270"/>
      <c r="DX57" s="270"/>
      <c r="DY57" s="270"/>
      <c r="DZ57" s="270"/>
      <c r="EA57" s="270"/>
      <c r="EB57" s="270"/>
      <c r="EC57" s="270"/>
      <c r="ED57" s="270"/>
      <c r="EE57" s="270"/>
      <c r="EF57" s="270"/>
      <c r="EG57" s="270"/>
      <c r="EH57" s="270"/>
      <c r="EI57" s="270"/>
      <c r="EJ57" s="270"/>
      <c r="EK57" s="270"/>
      <c r="EL57" s="270"/>
      <c r="EM57" s="270"/>
      <c r="EN57" s="270"/>
      <c r="EO57" s="270"/>
      <c r="EP57" s="270"/>
      <c r="EQ57" s="270"/>
      <c r="ER57" s="270"/>
      <c r="ES57" s="270"/>
      <c r="ET57" s="270"/>
      <c r="EU57" s="270"/>
      <c r="EV57" s="270"/>
      <c r="EW57" s="270"/>
      <c r="EX57" s="270"/>
      <c r="EY57" s="270"/>
      <c r="EZ57" s="270"/>
      <c r="FA57" s="270"/>
      <c r="FB57" s="270"/>
      <c r="FC57" s="270"/>
      <c r="FD57" s="270"/>
      <c r="FE57" s="270"/>
      <c r="FF57" s="270"/>
      <c r="FG57" s="270"/>
      <c r="FH57" s="270"/>
      <c r="FI57" s="270"/>
      <c r="FJ57" s="270"/>
      <c r="FK57" s="270"/>
      <c r="FL57" s="270"/>
      <c r="FM57" s="270"/>
      <c r="FN57" s="270"/>
      <c r="FO57" s="270"/>
      <c r="FP57" s="270"/>
      <c r="FQ57" s="270"/>
      <c r="FR57" s="270"/>
      <c r="FS57" s="270"/>
      <c r="FT57" s="270"/>
      <c r="FU57" s="270"/>
      <c r="FV57" s="270"/>
      <c r="FW57" s="270"/>
      <c r="FX57" s="270"/>
      <c r="FY57" s="270"/>
      <c r="FZ57" s="270"/>
      <c r="GA57" s="270"/>
      <c r="GB57" s="270"/>
      <c r="GC57" s="270"/>
      <c r="GD57" s="270"/>
      <c r="GE57" s="270"/>
      <c r="GF57" s="270"/>
      <c r="GG57" s="270"/>
      <c r="GH57" s="270"/>
      <c r="GI57" s="270"/>
      <c r="GJ57" s="270"/>
      <c r="GK57" s="270"/>
      <c r="GL57" s="270"/>
      <c r="GM57" s="270"/>
      <c r="GN57" s="270"/>
      <c r="GO57" s="270"/>
      <c r="GP57" s="270"/>
      <c r="GQ57" s="270"/>
      <c r="GR57" s="270"/>
      <c r="GS57" s="270"/>
      <c r="GT57" s="270"/>
      <c r="GU57" s="270"/>
      <c r="GV57" s="270"/>
      <c r="GW57" s="270"/>
      <c r="GX57" s="270"/>
      <c r="GY57" s="270"/>
      <c r="GZ57" s="270"/>
      <c r="HA57" s="270"/>
      <c r="HB57" s="270"/>
      <c r="HC57" s="270"/>
      <c r="HD57" s="270"/>
      <c r="HE57" s="270"/>
      <c r="HF57" s="270"/>
      <c r="HG57" s="270"/>
      <c r="HH57" s="270"/>
      <c r="HI57" s="270"/>
      <c r="HJ57" s="270"/>
      <c r="HK57" s="270"/>
      <c r="HL57" s="270"/>
      <c r="HM57" s="270"/>
      <c r="HN57" s="270"/>
      <c r="HO57" s="270"/>
      <c r="HP57" s="270"/>
      <c r="HQ57" s="270"/>
      <c r="HR57" s="270"/>
      <c r="HS57" s="270"/>
      <c r="HT57" s="270"/>
      <c r="HU57" s="270"/>
      <c r="HV57" s="270"/>
      <c r="HW57" s="270"/>
      <c r="HX57" s="270"/>
      <c r="HY57" s="270"/>
      <c r="HZ57" s="270"/>
      <c r="IA57" s="270"/>
      <c r="IB57" s="270"/>
      <c r="IC57" s="270"/>
      <c r="ID57" s="270"/>
      <c r="IE57" s="270"/>
      <c r="IF57" s="270"/>
      <c r="IG57" s="270"/>
      <c r="IH57" s="270"/>
      <c r="II57" s="270"/>
      <c r="IJ57" s="270"/>
      <c r="IK57" s="270"/>
      <c r="IL57" s="270"/>
      <c r="IM57" s="270"/>
      <c r="IN57" s="270"/>
      <c r="IO57" s="270"/>
      <c r="IP57" s="270"/>
      <c r="IQ57" s="270"/>
      <c r="IR57" s="270"/>
      <c r="IS57" s="270"/>
      <c r="IT57" s="270"/>
      <c r="IU57" s="270"/>
      <c r="IV57" s="270"/>
    </row>
    <row r="58" spans="1:256" x14ac:dyDescent="0.25">
      <c r="A58" s="279" t="s">
        <v>749</v>
      </c>
      <c r="B58" s="280" t="s">
        <v>471</v>
      </c>
      <c r="C58" s="278" t="s">
        <v>752</v>
      </c>
      <c r="D58" s="272">
        <v>0</v>
      </c>
      <c r="E58" s="260">
        <f>+INDEX(Sheet1!A:D,MATCH(MapaIII!C58,Sheet1!A:A,0),2)</f>
        <v>1100000</v>
      </c>
      <c r="F58" s="281">
        <f t="shared" si="12"/>
        <v>1100000</v>
      </c>
      <c r="G58" s="282">
        <f t="shared" si="0"/>
        <v>2.4138414567031114E-3</v>
      </c>
      <c r="H58" s="107">
        <v>1100000</v>
      </c>
      <c r="I58" s="270"/>
      <c r="J58" s="270"/>
      <c r="K58" s="283"/>
      <c r="L58" s="267">
        <v>42</v>
      </c>
      <c r="M58" s="283"/>
      <c r="N58" s="268">
        <f t="shared" si="2"/>
        <v>0</v>
      </c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3"/>
      <c r="AS58" s="283"/>
      <c r="AT58" s="283"/>
      <c r="AU58" s="283"/>
      <c r="AV58" s="283"/>
      <c r="AW58" s="283"/>
      <c r="AX58" s="283"/>
      <c r="AY58" s="283"/>
      <c r="AZ58" s="283"/>
      <c r="BA58" s="283"/>
      <c r="BB58" s="283"/>
      <c r="BC58" s="283"/>
      <c r="BD58" s="283"/>
      <c r="BE58" s="283"/>
      <c r="BF58" s="283"/>
      <c r="BG58" s="283"/>
      <c r="BH58" s="283"/>
      <c r="BI58" s="283"/>
      <c r="BJ58" s="283"/>
      <c r="BK58" s="283"/>
      <c r="BL58" s="283"/>
      <c r="BM58" s="283"/>
      <c r="BN58" s="283"/>
      <c r="BO58" s="283"/>
      <c r="BP58" s="283"/>
      <c r="BQ58" s="283"/>
      <c r="BR58" s="283"/>
      <c r="BS58" s="283"/>
      <c r="BT58" s="283"/>
      <c r="BU58" s="283"/>
      <c r="BV58" s="283"/>
      <c r="BW58" s="283"/>
      <c r="BX58" s="283"/>
      <c r="BY58" s="283"/>
      <c r="BZ58" s="283"/>
      <c r="CA58" s="283"/>
      <c r="CB58" s="283"/>
      <c r="CC58" s="283"/>
      <c r="CD58" s="283"/>
      <c r="CE58" s="283"/>
      <c r="CF58" s="283"/>
      <c r="CG58" s="283"/>
      <c r="CH58" s="283"/>
      <c r="CI58" s="283"/>
      <c r="CJ58" s="283"/>
      <c r="CK58" s="283"/>
      <c r="CL58" s="283"/>
      <c r="CM58" s="283"/>
      <c r="CN58" s="283"/>
      <c r="CO58" s="283"/>
      <c r="CP58" s="283"/>
      <c r="CQ58" s="283"/>
      <c r="CR58" s="283"/>
      <c r="CS58" s="283"/>
      <c r="CT58" s="283"/>
      <c r="CU58" s="283"/>
      <c r="CV58" s="283"/>
      <c r="CW58" s="283"/>
      <c r="CX58" s="283"/>
      <c r="CY58" s="283"/>
      <c r="CZ58" s="283"/>
      <c r="DA58" s="283"/>
      <c r="DB58" s="283"/>
      <c r="DC58" s="283"/>
      <c r="DD58" s="283"/>
      <c r="DE58" s="283"/>
      <c r="DF58" s="283"/>
      <c r="DG58" s="283"/>
      <c r="DH58" s="283"/>
      <c r="DI58" s="283"/>
      <c r="DJ58" s="283"/>
      <c r="DK58" s="283"/>
      <c r="DL58" s="283"/>
      <c r="DM58" s="283"/>
      <c r="DN58" s="283"/>
      <c r="DO58" s="283"/>
      <c r="DP58" s="283"/>
      <c r="DQ58" s="283"/>
      <c r="DR58" s="283"/>
      <c r="DS58" s="283"/>
      <c r="DT58" s="283"/>
      <c r="DU58" s="283"/>
      <c r="DV58" s="283"/>
      <c r="DW58" s="283"/>
      <c r="DX58" s="283"/>
      <c r="DY58" s="283"/>
      <c r="DZ58" s="283"/>
      <c r="EA58" s="283"/>
      <c r="EB58" s="283"/>
      <c r="EC58" s="283"/>
      <c r="ED58" s="283"/>
      <c r="EE58" s="283"/>
      <c r="EF58" s="283"/>
      <c r="EG58" s="283"/>
      <c r="EH58" s="283"/>
      <c r="EI58" s="283"/>
      <c r="EJ58" s="283"/>
      <c r="EK58" s="283"/>
      <c r="EL58" s="283"/>
      <c r="EM58" s="283"/>
      <c r="EN58" s="283"/>
      <c r="EO58" s="283"/>
      <c r="EP58" s="283"/>
      <c r="EQ58" s="283"/>
      <c r="ER58" s="283"/>
      <c r="ES58" s="283"/>
      <c r="ET58" s="283"/>
      <c r="EU58" s="283"/>
      <c r="EV58" s="283"/>
      <c r="EW58" s="283"/>
      <c r="EX58" s="283"/>
      <c r="EY58" s="283"/>
      <c r="EZ58" s="283"/>
      <c r="FA58" s="283"/>
      <c r="FB58" s="283"/>
      <c r="FC58" s="283"/>
      <c r="FD58" s="283"/>
      <c r="FE58" s="283"/>
      <c r="FF58" s="283"/>
      <c r="FG58" s="283"/>
      <c r="FH58" s="283"/>
      <c r="FI58" s="283"/>
      <c r="FJ58" s="283"/>
      <c r="FK58" s="283"/>
      <c r="FL58" s="283"/>
      <c r="FM58" s="283"/>
      <c r="FN58" s="283"/>
      <c r="FO58" s="283"/>
      <c r="FP58" s="283"/>
      <c r="FQ58" s="283"/>
      <c r="FR58" s="283"/>
      <c r="FS58" s="283"/>
      <c r="FT58" s="283"/>
      <c r="FU58" s="283"/>
      <c r="FV58" s="283"/>
      <c r="FW58" s="283"/>
      <c r="FX58" s="283"/>
      <c r="FY58" s="283"/>
      <c r="FZ58" s="283"/>
      <c r="GA58" s="283"/>
      <c r="GB58" s="283"/>
      <c r="GC58" s="283"/>
      <c r="GD58" s="283"/>
      <c r="GE58" s="283"/>
      <c r="GF58" s="283"/>
      <c r="GG58" s="283"/>
      <c r="GH58" s="283"/>
      <c r="GI58" s="283"/>
      <c r="GJ58" s="283"/>
      <c r="GK58" s="283"/>
      <c r="GL58" s="283"/>
      <c r="GM58" s="283"/>
      <c r="GN58" s="283"/>
      <c r="GO58" s="283"/>
      <c r="GP58" s="283"/>
      <c r="GQ58" s="283"/>
      <c r="GR58" s="283"/>
      <c r="GS58" s="283"/>
      <c r="GT58" s="283"/>
      <c r="GU58" s="283"/>
      <c r="GV58" s="283"/>
      <c r="GW58" s="283"/>
      <c r="GX58" s="283"/>
      <c r="GY58" s="283"/>
      <c r="GZ58" s="283"/>
      <c r="HA58" s="283"/>
      <c r="HB58" s="283"/>
      <c r="HC58" s="283"/>
      <c r="HD58" s="283"/>
      <c r="HE58" s="283"/>
      <c r="HF58" s="283"/>
      <c r="HG58" s="283"/>
      <c r="HH58" s="283"/>
      <c r="HI58" s="283"/>
      <c r="HJ58" s="283"/>
      <c r="HK58" s="283"/>
      <c r="HL58" s="283"/>
      <c r="HM58" s="283"/>
      <c r="HN58" s="283"/>
      <c r="HO58" s="283"/>
      <c r="HP58" s="283"/>
      <c r="HQ58" s="283"/>
      <c r="HR58" s="283"/>
      <c r="HS58" s="283"/>
      <c r="HT58" s="283"/>
      <c r="HU58" s="283"/>
      <c r="HV58" s="283"/>
      <c r="HW58" s="283"/>
      <c r="HX58" s="283"/>
      <c r="HY58" s="283"/>
      <c r="HZ58" s="283"/>
      <c r="IA58" s="283"/>
      <c r="IB58" s="283"/>
      <c r="IC58" s="283"/>
      <c r="ID58" s="283"/>
      <c r="IE58" s="283"/>
      <c r="IF58" s="283"/>
      <c r="IG58" s="283"/>
      <c r="IH58" s="283"/>
      <c r="II58" s="283"/>
      <c r="IJ58" s="283"/>
      <c r="IK58" s="283"/>
      <c r="IL58" s="283"/>
      <c r="IM58" s="283"/>
      <c r="IN58" s="283"/>
      <c r="IO58" s="283"/>
      <c r="IP58" s="283"/>
      <c r="IQ58" s="283"/>
      <c r="IR58" s="283"/>
      <c r="IS58" s="283"/>
      <c r="IT58" s="283"/>
      <c r="IU58" s="283"/>
      <c r="IV58" s="283"/>
    </row>
    <row r="59" spans="1:256" x14ac:dyDescent="0.25">
      <c r="A59" s="279" t="s">
        <v>749</v>
      </c>
      <c r="B59" s="280" t="s">
        <v>471</v>
      </c>
      <c r="C59" s="278" t="s">
        <v>753</v>
      </c>
      <c r="D59" s="272">
        <v>0</v>
      </c>
      <c r="E59" s="260">
        <f>+INDEX(Sheet1!A:D,MATCH(MapaIII!C59,Sheet1!A:A,0),2)</f>
        <v>4000000</v>
      </c>
      <c r="F59" s="281">
        <f t="shared" si="12"/>
        <v>4000000</v>
      </c>
      <c r="G59" s="282">
        <f t="shared" si="0"/>
        <v>8.7776052971022221E-3</v>
      </c>
      <c r="H59" s="107">
        <v>1500000</v>
      </c>
      <c r="I59" s="283"/>
      <c r="J59" s="283"/>
      <c r="K59" s="283"/>
      <c r="L59" s="267">
        <v>39</v>
      </c>
      <c r="M59" s="283"/>
      <c r="N59" s="268">
        <f t="shared" si="2"/>
        <v>-2500000</v>
      </c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3"/>
      <c r="AW59" s="283"/>
      <c r="AX59" s="283"/>
      <c r="AY59" s="283"/>
      <c r="AZ59" s="283"/>
      <c r="BA59" s="283"/>
      <c r="BB59" s="283"/>
      <c r="BC59" s="283"/>
      <c r="BD59" s="283"/>
      <c r="BE59" s="283"/>
      <c r="BF59" s="283"/>
      <c r="BG59" s="283"/>
      <c r="BH59" s="283"/>
      <c r="BI59" s="283"/>
      <c r="BJ59" s="283"/>
      <c r="BK59" s="283"/>
      <c r="BL59" s="283"/>
      <c r="BM59" s="283"/>
      <c r="BN59" s="283"/>
      <c r="BO59" s="283"/>
      <c r="BP59" s="283"/>
      <c r="BQ59" s="283"/>
      <c r="BR59" s="283"/>
      <c r="BS59" s="283"/>
      <c r="BT59" s="283"/>
      <c r="BU59" s="283"/>
      <c r="BV59" s="283"/>
      <c r="BW59" s="283"/>
      <c r="BX59" s="283"/>
      <c r="BY59" s="283"/>
      <c r="BZ59" s="283"/>
      <c r="CA59" s="283"/>
      <c r="CB59" s="283"/>
      <c r="CC59" s="283"/>
      <c r="CD59" s="283"/>
      <c r="CE59" s="283"/>
      <c r="CF59" s="283"/>
      <c r="CG59" s="283"/>
      <c r="CH59" s="283"/>
      <c r="CI59" s="283"/>
      <c r="CJ59" s="283"/>
      <c r="CK59" s="283"/>
      <c r="CL59" s="283"/>
      <c r="CM59" s="283"/>
      <c r="CN59" s="283"/>
      <c r="CO59" s="283"/>
      <c r="CP59" s="283"/>
      <c r="CQ59" s="283"/>
      <c r="CR59" s="283"/>
      <c r="CS59" s="283"/>
      <c r="CT59" s="283"/>
      <c r="CU59" s="283"/>
      <c r="CV59" s="283"/>
      <c r="CW59" s="283"/>
      <c r="CX59" s="283"/>
      <c r="CY59" s="283"/>
      <c r="CZ59" s="283"/>
      <c r="DA59" s="283"/>
      <c r="DB59" s="283"/>
      <c r="DC59" s="283"/>
      <c r="DD59" s="283"/>
      <c r="DE59" s="283"/>
      <c r="DF59" s="283"/>
      <c r="DG59" s="283"/>
      <c r="DH59" s="283"/>
      <c r="DI59" s="283"/>
      <c r="DJ59" s="283"/>
      <c r="DK59" s="283"/>
      <c r="DL59" s="283"/>
      <c r="DM59" s="283"/>
      <c r="DN59" s="283"/>
      <c r="DO59" s="283"/>
      <c r="DP59" s="283"/>
      <c r="DQ59" s="283"/>
      <c r="DR59" s="283"/>
      <c r="DS59" s="283"/>
      <c r="DT59" s="283"/>
      <c r="DU59" s="283"/>
      <c r="DV59" s="283"/>
      <c r="DW59" s="283"/>
      <c r="DX59" s="283"/>
      <c r="DY59" s="283"/>
      <c r="DZ59" s="283"/>
      <c r="EA59" s="283"/>
      <c r="EB59" s="283"/>
      <c r="EC59" s="283"/>
      <c r="ED59" s="283"/>
      <c r="EE59" s="283"/>
      <c r="EF59" s="283"/>
      <c r="EG59" s="283"/>
      <c r="EH59" s="283"/>
      <c r="EI59" s="283"/>
      <c r="EJ59" s="283"/>
      <c r="EK59" s="283"/>
      <c r="EL59" s="283"/>
      <c r="EM59" s="283"/>
      <c r="EN59" s="283"/>
      <c r="EO59" s="283"/>
      <c r="EP59" s="283"/>
      <c r="EQ59" s="283"/>
      <c r="ER59" s="283"/>
      <c r="ES59" s="283"/>
      <c r="ET59" s="283"/>
      <c r="EU59" s="283"/>
      <c r="EV59" s="283"/>
      <c r="EW59" s="283"/>
      <c r="EX59" s="283"/>
      <c r="EY59" s="283"/>
      <c r="EZ59" s="283"/>
      <c r="FA59" s="283"/>
      <c r="FB59" s="283"/>
      <c r="FC59" s="283"/>
      <c r="FD59" s="283"/>
      <c r="FE59" s="283"/>
      <c r="FF59" s="283"/>
      <c r="FG59" s="283"/>
      <c r="FH59" s="283"/>
      <c r="FI59" s="283"/>
      <c r="FJ59" s="283"/>
      <c r="FK59" s="283"/>
      <c r="FL59" s="283"/>
      <c r="FM59" s="283"/>
      <c r="FN59" s="283"/>
      <c r="FO59" s="283"/>
      <c r="FP59" s="283"/>
      <c r="FQ59" s="283"/>
      <c r="FR59" s="283"/>
      <c r="FS59" s="283"/>
      <c r="FT59" s="283"/>
      <c r="FU59" s="283"/>
      <c r="FV59" s="283"/>
      <c r="FW59" s="283"/>
      <c r="FX59" s="283"/>
      <c r="FY59" s="283"/>
      <c r="FZ59" s="283"/>
      <c r="GA59" s="283"/>
      <c r="GB59" s="283"/>
      <c r="GC59" s="283"/>
      <c r="GD59" s="283"/>
      <c r="GE59" s="283"/>
      <c r="GF59" s="283"/>
      <c r="GG59" s="283"/>
      <c r="GH59" s="283"/>
      <c r="GI59" s="283"/>
      <c r="GJ59" s="283"/>
      <c r="GK59" s="283"/>
      <c r="GL59" s="283"/>
      <c r="GM59" s="283"/>
      <c r="GN59" s="283"/>
      <c r="GO59" s="283"/>
      <c r="GP59" s="283"/>
      <c r="GQ59" s="283"/>
      <c r="GR59" s="283"/>
      <c r="GS59" s="283"/>
      <c r="GT59" s="283"/>
      <c r="GU59" s="283"/>
      <c r="GV59" s="283"/>
      <c r="GW59" s="283"/>
      <c r="GX59" s="283"/>
      <c r="GY59" s="283"/>
      <c r="GZ59" s="283"/>
      <c r="HA59" s="283"/>
      <c r="HB59" s="283"/>
      <c r="HC59" s="283"/>
      <c r="HD59" s="283"/>
      <c r="HE59" s="283"/>
      <c r="HF59" s="283"/>
      <c r="HG59" s="283"/>
      <c r="HH59" s="283"/>
      <c r="HI59" s="283"/>
      <c r="HJ59" s="283"/>
      <c r="HK59" s="283"/>
      <c r="HL59" s="283"/>
      <c r="HM59" s="283"/>
      <c r="HN59" s="283"/>
      <c r="HO59" s="283"/>
      <c r="HP59" s="283"/>
      <c r="HQ59" s="283"/>
      <c r="HR59" s="283"/>
      <c r="HS59" s="283"/>
      <c r="HT59" s="283"/>
      <c r="HU59" s="283"/>
      <c r="HV59" s="283"/>
      <c r="HW59" s="283"/>
      <c r="HX59" s="283"/>
      <c r="HY59" s="283"/>
      <c r="HZ59" s="283"/>
      <c r="IA59" s="283"/>
      <c r="IB59" s="283"/>
      <c r="IC59" s="283"/>
      <c r="ID59" s="283"/>
      <c r="IE59" s="283"/>
      <c r="IF59" s="283"/>
      <c r="IG59" s="283"/>
      <c r="IH59" s="283"/>
      <c r="II59" s="283"/>
      <c r="IJ59" s="283"/>
      <c r="IK59" s="283"/>
      <c r="IL59" s="283"/>
      <c r="IM59" s="283"/>
      <c r="IN59" s="283"/>
      <c r="IO59" s="283"/>
      <c r="IP59" s="283"/>
      <c r="IQ59" s="283"/>
      <c r="IR59" s="283"/>
      <c r="IS59" s="283"/>
      <c r="IT59" s="283"/>
      <c r="IU59" s="283"/>
      <c r="IV59" s="283"/>
    </row>
    <row r="60" spans="1:256" x14ac:dyDescent="0.25">
      <c r="A60" s="279" t="s">
        <v>749</v>
      </c>
      <c r="B60" s="284" t="s">
        <v>439</v>
      </c>
      <c r="C60" s="278" t="s">
        <v>754</v>
      </c>
      <c r="D60" s="272"/>
      <c r="E60" s="260">
        <f>+INDEX(Sheet1!A:D,MATCH(MapaIII!C60,Sheet1!A:A,0),2)</f>
        <v>2000000</v>
      </c>
      <c r="F60" s="281">
        <f t="shared" si="12"/>
        <v>2000000</v>
      </c>
      <c r="G60" s="282">
        <f t="shared" si="0"/>
        <v>4.3888026485511111E-3</v>
      </c>
      <c r="H60" s="107">
        <v>2000000</v>
      </c>
      <c r="I60" s="283"/>
      <c r="J60" s="283"/>
      <c r="K60" s="270"/>
      <c r="L60" s="267">
        <v>7</v>
      </c>
      <c r="M60" s="270"/>
      <c r="N60" s="268">
        <f t="shared" si="2"/>
        <v>0</v>
      </c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0"/>
      <c r="AL60" s="270"/>
      <c r="AM60" s="270"/>
      <c r="AN60" s="270"/>
      <c r="AO60" s="270"/>
      <c r="AP60" s="270"/>
      <c r="AQ60" s="270"/>
      <c r="AR60" s="270"/>
      <c r="AS60" s="270"/>
      <c r="AT60" s="270"/>
      <c r="AU60" s="270"/>
      <c r="AV60" s="270"/>
      <c r="AW60" s="270"/>
      <c r="AX60" s="270"/>
      <c r="AY60" s="270"/>
      <c r="AZ60" s="270"/>
      <c r="BA60" s="270"/>
      <c r="BB60" s="270"/>
      <c r="BC60" s="270"/>
      <c r="BD60" s="270"/>
      <c r="BE60" s="270"/>
      <c r="BF60" s="270"/>
      <c r="BG60" s="270"/>
      <c r="BH60" s="270"/>
      <c r="BI60" s="270"/>
      <c r="BJ60" s="270"/>
      <c r="BK60" s="270"/>
      <c r="BL60" s="270"/>
      <c r="BM60" s="270"/>
      <c r="BN60" s="270"/>
      <c r="BO60" s="270"/>
      <c r="BP60" s="270"/>
      <c r="BQ60" s="270"/>
      <c r="BR60" s="270"/>
      <c r="BS60" s="270"/>
      <c r="BT60" s="270"/>
      <c r="BU60" s="270"/>
      <c r="BV60" s="270"/>
      <c r="BW60" s="270"/>
      <c r="BX60" s="270"/>
      <c r="BY60" s="270"/>
      <c r="BZ60" s="270"/>
      <c r="CA60" s="270"/>
      <c r="CB60" s="270"/>
      <c r="CC60" s="270"/>
      <c r="CD60" s="270"/>
      <c r="CE60" s="270"/>
      <c r="CF60" s="270"/>
      <c r="CG60" s="270"/>
      <c r="CH60" s="270"/>
      <c r="CI60" s="270"/>
      <c r="CJ60" s="270"/>
      <c r="CK60" s="270"/>
      <c r="CL60" s="270"/>
      <c r="CM60" s="270"/>
      <c r="CN60" s="270"/>
      <c r="CO60" s="270"/>
      <c r="CP60" s="270"/>
      <c r="CQ60" s="270"/>
      <c r="CR60" s="270"/>
      <c r="CS60" s="270"/>
      <c r="CT60" s="270"/>
      <c r="CU60" s="270"/>
      <c r="CV60" s="270"/>
      <c r="CW60" s="270"/>
      <c r="CX60" s="270"/>
      <c r="CY60" s="270"/>
      <c r="CZ60" s="270"/>
      <c r="DA60" s="270"/>
      <c r="DB60" s="270"/>
      <c r="DC60" s="270"/>
      <c r="DD60" s="270"/>
      <c r="DE60" s="270"/>
      <c r="DF60" s="270"/>
      <c r="DG60" s="270"/>
      <c r="DH60" s="270"/>
      <c r="DI60" s="270"/>
      <c r="DJ60" s="270"/>
      <c r="DK60" s="270"/>
      <c r="DL60" s="270"/>
      <c r="DM60" s="270"/>
      <c r="DN60" s="270"/>
      <c r="DO60" s="270"/>
      <c r="DP60" s="270"/>
      <c r="DQ60" s="270"/>
      <c r="DR60" s="270"/>
      <c r="DS60" s="270"/>
      <c r="DT60" s="270"/>
      <c r="DU60" s="270"/>
      <c r="DV60" s="270"/>
      <c r="DW60" s="270"/>
      <c r="DX60" s="270"/>
      <c r="DY60" s="270"/>
      <c r="DZ60" s="270"/>
      <c r="EA60" s="270"/>
      <c r="EB60" s="270"/>
      <c r="EC60" s="270"/>
      <c r="ED60" s="270"/>
      <c r="EE60" s="270"/>
      <c r="EF60" s="270"/>
      <c r="EG60" s="270"/>
      <c r="EH60" s="270"/>
      <c r="EI60" s="270"/>
      <c r="EJ60" s="270"/>
      <c r="EK60" s="270"/>
      <c r="EL60" s="270"/>
      <c r="EM60" s="270"/>
      <c r="EN60" s="270"/>
      <c r="EO60" s="270"/>
      <c r="EP60" s="270"/>
      <c r="EQ60" s="270"/>
      <c r="ER60" s="270"/>
      <c r="ES60" s="270"/>
      <c r="ET60" s="270"/>
      <c r="EU60" s="270"/>
      <c r="EV60" s="270"/>
      <c r="EW60" s="270"/>
      <c r="EX60" s="270"/>
      <c r="EY60" s="270"/>
      <c r="EZ60" s="270"/>
      <c r="FA60" s="270"/>
      <c r="FB60" s="270"/>
      <c r="FC60" s="270"/>
      <c r="FD60" s="270"/>
      <c r="FE60" s="270"/>
      <c r="FF60" s="270"/>
      <c r="FG60" s="270"/>
      <c r="FH60" s="270"/>
      <c r="FI60" s="270"/>
      <c r="FJ60" s="270"/>
      <c r="FK60" s="270"/>
      <c r="FL60" s="270"/>
      <c r="FM60" s="270"/>
      <c r="FN60" s="270"/>
      <c r="FO60" s="270"/>
      <c r="FP60" s="270"/>
      <c r="FQ60" s="270"/>
      <c r="FR60" s="270"/>
      <c r="FS60" s="270"/>
      <c r="FT60" s="270"/>
      <c r="FU60" s="270"/>
      <c r="FV60" s="270"/>
      <c r="FW60" s="270"/>
      <c r="FX60" s="270"/>
      <c r="FY60" s="270"/>
      <c r="FZ60" s="270"/>
      <c r="GA60" s="270"/>
      <c r="GB60" s="270"/>
      <c r="GC60" s="270"/>
      <c r="GD60" s="270"/>
      <c r="GE60" s="270"/>
      <c r="GF60" s="270"/>
      <c r="GG60" s="270"/>
      <c r="GH60" s="270"/>
      <c r="GI60" s="270"/>
      <c r="GJ60" s="270"/>
      <c r="GK60" s="270"/>
      <c r="GL60" s="270"/>
      <c r="GM60" s="270"/>
      <c r="GN60" s="270"/>
      <c r="GO60" s="270"/>
      <c r="GP60" s="270"/>
      <c r="GQ60" s="270"/>
      <c r="GR60" s="270"/>
      <c r="GS60" s="270"/>
      <c r="GT60" s="270"/>
      <c r="GU60" s="270"/>
      <c r="GV60" s="270"/>
      <c r="GW60" s="270"/>
      <c r="GX60" s="270"/>
      <c r="GY60" s="270"/>
      <c r="GZ60" s="270"/>
      <c r="HA60" s="270"/>
      <c r="HB60" s="270"/>
      <c r="HC60" s="270"/>
      <c r="HD60" s="270"/>
      <c r="HE60" s="270"/>
      <c r="HF60" s="270"/>
      <c r="HG60" s="270"/>
      <c r="HH60" s="270"/>
      <c r="HI60" s="270"/>
      <c r="HJ60" s="270"/>
      <c r="HK60" s="270"/>
      <c r="HL60" s="270"/>
      <c r="HM60" s="270"/>
      <c r="HN60" s="270"/>
      <c r="HO60" s="270"/>
      <c r="HP60" s="270"/>
      <c r="HQ60" s="270"/>
      <c r="HR60" s="270"/>
      <c r="HS60" s="270"/>
      <c r="HT60" s="270"/>
      <c r="HU60" s="270"/>
      <c r="HV60" s="270"/>
      <c r="HW60" s="270"/>
      <c r="HX60" s="270"/>
      <c r="HY60" s="270"/>
      <c r="HZ60" s="270"/>
      <c r="IA60" s="270"/>
      <c r="IB60" s="270"/>
      <c r="IC60" s="270"/>
      <c r="ID60" s="270"/>
      <c r="IE60" s="270"/>
      <c r="IF60" s="270"/>
      <c r="IG60" s="270"/>
      <c r="IH60" s="270"/>
      <c r="II60" s="270"/>
      <c r="IJ60" s="270"/>
      <c r="IK60" s="270"/>
      <c r="IL60" s="270"/>
      <c r="IM60" s="270"/>
      <c r="IN60" s="270"/>
      <c r="IO60" s="270"/>
      <c r="IP60" s="270"/>
      <c r="IQ60" s="270"/>
      <c r="IR60" s="270"/>
      <c r="IS60" s="270"/>
      <c r="IT60" s="270"/>
      <c r="IU60" s="270"/>
      <c r="IV60" s="270"/>
    </row>
    <row r="61" spans="1:256" x14ac:dyDescent="0.25">
      <c r="A61" s="279" t="s">
        <v>749</v>
      </c>
      <c r="B61" s="284" t="s">
        <v>471</v>
      </c>
      <c r="C61" s="278" t="s">
        <v>755</v>
      </c>
      <c r="D61" s="272"/>
      <c r="E61" s="260">
        <f>+INDEX(Sheet1!A:D,MATCH(MapaIII!C61,Sheet1!A:A,0),2)</f>
        <v>2500000</v>
      </c>
      <c r="F61" s="281">
        <f t="shared" si="12"/>
        <v>2500000</v>
      </c>
      <c r="G61" s="282">
        <f t="shared" si="0"/>
        <v>5.4860033106888893E-3</v>
      </c>
      <c r="H61" s="107">
        <v>2000000</v>
      </c>
      <c r="I61" s="262"/>
      <c r="J61" s="262"/>
      <c r="K61" s="270"/>
      <c r="L61" s="267">
        <v>4</v>
      </c>
      <c r="M61" s="270"/>
      <c r="N61" s="268">
        <f t="shared" si="2"/>
        <v>-500000</v>
      </c>
      <c r="O61" s="270"/>
      <c r="P61" s="270"/>
      <c r="Q61" s="270"/>
      <c r="R61" s="270"/>
      <c r="S61" s="270"/>
      <c r="T61" s="270"/>
      <c r="U61" s="270"/>
      <c r="V61" s="270"/>
      <c r="W61" s="270"/>
      <c r="X61" s="270"/>
      <c r="Y61" s="270"/>
      <c r="Z61" s="270"/>
      <c r="AA61" s="270"/>
      <c r="AB61" s="270"/>
      <c r="AC61" s="270"/>
      <c r="AD61" s="270"/>
      <c r="AE61" s="270"/>
      <c r="AF61" s="270"/>
      <c r="AG61" s="270"/>
      <c r="AH61" s="270"/>
      <c r="AI61" s="270"/>
      <c r="AJ61" s="270"/>
      <c r="AK61" s="270"/>
      <c r="AL61" s="270"/>
      <c r="AM61" s="270"/>
      <c r="AN61" s="270"/>
      <c r="AO61" s="270"/>
      <c r="AP61" s="270"/>
      <c r="AQ61" s="270"/>
      <c r="AR61" s="270"/>
      <c r="AS61" s="270"/>
      <c r="AT61" s="270"/>
      <c r="AU61" s="270"/>
      <c r="AV61" s="270"/>
      <c r="AW61" s="270"/>
      <c r="AX61" s="270"/>
      <c r="AY61" s="270"/>
      <c r="AZ61" s="270"/>
      <c r="BA61" s="270"/>
      <c r="BB61" s="270"/>
      <c r="BC61" s="270"/>
      <c r="BD61" s="270"/>
      <c r="BE61" s="270"/>
      <c r="BF61" s="270"/>
      <c r="BG61" s="270"/>
      <c r="BH61" s="270"/>
      <c r="BI61" s="270"/>
      <c r="BJ61" s="270"/>
      <c r="BK61" s="270"/>
      <c r="BL61" s="270"/>
      <c r="BM61" s="270"/>
      <c r="BN61" s="270"/>
      <c r="BO61" s="270"/>
      <c r="BP61" s="270"/>
      <c r="BQ61" s="270"/>
      <c r="BR61" s="270"/>
      <c r="BS61" s="270"/>
      <c r="BT61" s="270"/>
      <c r="BU61" s="270"/>
      <c r="BV61" s="270"/>
      <c r="BW61" s="270"/>
      <c r="BX61" s="270"/>
      <c r="BY61" s="270"/>
      <c r="BZ61" s="270"/>
      <c r="CA61" s="270"/>
      <c r="CB61" s="270"/>
      <c r="CC61" s="270"/>
      <c r="CD61" s="270"/>
      <c r="CE61" s="270"/>
      <c r="CF61" s="270"/>
      <c r="CG61" s="270"/>
      <c r="CH61" s="270"/>
      <c r="CI61" s="270"/>
      <c r="CJ61" s="270"/>
      <c r="CK61" s="270"/>
      <c r="CL61" s="270"/>
      <c r="CM61" s="270"/>
      <c r="CN61" s="270"/>
      <c r="CO61" s="270"/>
      <c r="CP61" s="270"/>
      <c r="CQ61" s="270"/>
      <c r="CR61" s="270"/>
      <c r="CS61" s="270"/>
      <c r="CT61" s="270"/>
      <c r="CU61" s="270"/>
      <c r="CV61" s="270"/>
      <c r="CW61" s="270"/>
      <c r="CX61" s="270"/>
      <c r="CY61" s="270"/>
      <c r="CZ61" s="270"/>
      <c r="DA61" s="270"/>
      <c r="DB61" s="270"/>
      <c r="DC61" s="270"/>
      <c r="DD61" s="270"/>
      <c r="DE61" s="270"/>
      <c r="DF61" s="270"/>
      <c r="DG61" s="270"/>
      <c r="DH61" s="270"/>
      <c r="DI61" s="270"/>
      <c r="DJ61" s="270"/>
      <c r="DK61" s="270"/>
      <c r="DL61" s="270"/>
      <c r="DM61" s="270"/>
      <c r="DN61" s="270"/>
      <c r="DO61" s="270"/>
      <c r="DP61" s="270"/>
      <c r="DQ61" s="270"/>
      <c r="DR61" s="270"/>
      <c r="DS61" s="270"/>
      <c r="DT61" s="270"/>
      <c r="DU61" s="270"/>
      <c r="DV61" s="270"/>
      <c r="DW61" s="270"/>
      <c r="DX61" s="270"/>
      <c r="DY61" s="270"/>
      <c r="DZ61" s="270"/>
      <c r="EA61" s="270"/>
      <c r="EB61" s="270"/>
      <c r="EC61" s="270"/>
      <c r="ED61" s="270"/>
      <c r="EE61" s="270"/>
      <c r="EF61" s="270"/>
      <c r="EG61" s="270"/>
      <c r="EH61" s="270"/>
      <c r="EI61" s="270"/>
      <c r="EJ61" s="270"/>
      <c r="EK61" s="270"/>
      <c r="EL61" s="270"/>
      <c r="EM61" s="270"/>
      <c r="EN61" s="270"/>
      <c r="EO61" s="270"/>
      <c r="EP61" s="270"/>
      <c r="EQ61" s="270"/>
      <c r="ER61" s="270"/>
      <c r="ES61" s="270"/>
      <c r="ET61" s="270"/>
      <c r="EU61" s="270"/>
      <c r="EV61" s="270"/>
      <c r="EW61" s="270"/>
      <c r="EX61" s="270"/>
      <c r="EY61" s="270"/>
      <c r="EZ61" s="270"/>
      <c r="FA61" s="270"/>
      <c r="FB61" s="270"/>
      <c r="FC61" s="270"/>
      <c r="FD61" s="270"/>
      <c r="FE61" s="270"/>
      <c r="FF61" s="270"/>
      <c r="FG61" s="270"/>
      <c r="FH61" s="270"/>
      <c r="FI61" s="270"/>
      <c r="FJ61" s="270"/>
      <c r="FK61" s="270"/>
      <c r="FL61" s="270"/>
      <c r="FM61" s="270"/>
      <c r="FN61" s="270"/>
      <c r="FO61" s="270"/>
      <c r="FP61" s="270"/>
      <c r="FQ61" s="270"/>
      <c r="FR61" s="270"/>
      <c r="FS61" s="270"/>
      <c r="FT61" s="270"/>
      <c r="FU61" s="270"/>
      <c r="FV61" s="270"/>
      <c r="FW61" s="270"/>
      <c r="FX61" s="270"/>
      <c r="FY61" s="270"/>
      <c r="FZ61" s="270"/>
      <c r="GA61" s="270"/>
      <c r="GB61" s="270"/>
      <c r="GC61" s="270"/>
      <c r="GD61" s="270"/>
      <c r="GE61" s="270"/>
      <c r="GF61" s="270"/>
      <c r="GG61" s="270"/>
      <c r="GH61" s="270"/>
      <c r="GI61" s="270"/>
      <c r="GJ61" s="270"/>
      <c r="GK61" s="270"/>
      <c r="GL61" s="270"/>
      <c r="GM61" s="270"/>
      <c r="GN61" s="270"/>
      <c r="GO61" s="270"/>
      <c r="GP61" s="270"/>
      <c r="GQ61" s="270"/>
      <c r="GR61" s="270"/>
      <c r="GS61" s="270"/>
      <c r="GT61" s="270"/>
      <c r="GU61" s="270"/>
      <c r="GV61" s="270"/>
      <c r="GW61" s="270"/>
      <c r="GX61" s="270"/>
      <c r="GY61" s="270"/>
      <c r="GZ61" s="270"/>
      <c r="HA61" s="270"/>
      <c r="HB61" s="270"/>
      <c r="HC61" s="270"/>
      <c r="HD61" s="270"/>
      <c r="HE61" s="270"/>
      <c r="HF61" s="270"/>
      <c r="HG61" s="270"/>
      <c r="HH61" s="270"/>
      <c r="HI61" s="270"/>
      <c r="HJ61" s="270"/>
      <c r="HK61" s="270"/>
      <c r="HL61" s="270"/>
      <c r="HM61" s="270"/>
      <c r="HN61" s="270"/>
      <c r="HO61" s="270"/>
      <c r="HP61" s="270"/>
      <c r="HQ61" s="270"/>
      <c r="HR61" s="270"/>
      <c r="HS61" s="270"/>
      <c r="HT61" s="270"/>
      <c r="HU61" s="270"/>
      <c r="HV61" s="270"/>
      <c r="HW61" s="270"/>
      <c r="HX61" s="270"/>
      <c r="HY61" s="270"/>
      <c r="HZ61" s="270"/>
      <c r="IA61" s="270"/>
      <c r="IB61" s="270"/>
      <c r="IC61" s="270"/>
      <c r="ID61" s="270"/>
      <c r="IE61" s="270"/>
      <c r="IF61" s="270"/>
      <c r="IG61" s="270"/>
      <c r="IH61" s="270"/>
      <c r="II61" s="270"/>
      <c r="IJ61" s="270"/>
      <c r="IK61" s="270"/>
      <c r="IL61" s="270"/>
      <c r="IM61" s="270"/>
      <c r="IN61" s="270"/>
      <c r="IO61" s="270"/>
      <c r="IP61" s="270"/>
      <c r="IQ61" s="270"/>
      <c r="IR61" s="270"/>
      <c r="IS61" s="270"/>
      <c r="IT61" s="270"/>
      <c r="IU61" s="270"/>
      <c r="IV61" s="270"/>
    </row>
    <row r="62" spans="1:256" x14ac:dyDescent="0.25">
      <c r="A62" s="279" t="s">
        <v>756</v>
      </c>
      <c r="B62" s="280" t="s">
        <v>471</v>
      </c>
      <c r="C62" s="278" t="s">
        <v>757</v>
      </c>
      <c r="D62" s="272">
        <v>0</v>
      </c>
      <c r="E62" s="260">
        <f>+INDEX(Sheet1!A:D,MATCH(MapaIII!C62,Sheet1!A:A,0),2)</f>
        <v>6000000</v>
      </c>
      <c r="F62" s="281">
        <f t="shared" si="12"/>
        <v>6000000</v>
      </c>
      <c r="G62" s="282">
        <f t="shared" si="0"/>
        <v>1.3166407945653333E-2</v>
      </c>
      <c r="H62" s="107">
        <v>3000000</v>
      </c>
      <c r="I62" s="262"/>
      <c r="J62" s="262"/>
      <c r="K62" s="283"/>
      <c r="L62" s="267">
        <v>38</v>
      </c>
      <c r="M62" s="283"/>
      <c r="N62" s="268">
        <f t="shared" si="2"/>
        <v>-3000000</v>
      </c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3"/>
      <c r="AO62" s="283"/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  <c r="BE62" s="283"/>
      <c r="BF62" s="283"/>
      <c r="BG62" s="283"/>
      <c r="BH62" s="283"/>
      <c r="BI62" s="283"/>
      <c r="BJ62" s="283"/>
      <c r="BK62" s="283"/>
      <c r="BL62" s="283"/>
      <c r="BM62" s="283"/>
      <c r="BN62" s="283"/>
      <c r="BO62" s="283"/>
      <c r="BP62" s="283"/>
      <c r="BQ62" s="283"/>
      <c r="BR62" s="283"/>
      <c r="BS62" s="283"/>
      <c r="BT62" s="283"/>
      <c r="BU62" s="283"/>
      <c r="BV62" s="283"/>
      <c r="BW62" s="283"/>
      <c r="BX62" s="283"/>
      <c r="BY62" s="283"/>
      <c r="BZ62" s="283"/>
      <c r="CA62" s="283"/>
      <c r="CB62" s="283"/>
      <c r="CC62" s="283"/>
      <c r="CD62" s="283"/>
      <c r="CE62" s="283"/>
      <c r="CF62" s="283"/>
      <c r="CG62" s="283"/>
      <c r="CH62" s="283"/>
      <c r="CI62" s="283"/>
      <c r="CJ62" s="283"/>
      <c r="CK62" s="283"/>
      <c r="CL62" s="283"/>
      <c r="CM62" s="283"/>
      <c r="CN62" s="283"/>
      <c r="CO62" s="283"/>
      <c r="CP62" s="283"/>
      <c r="CQ62" s="283"/>
      <c r="CR62" s="283"/>
      <c r="CS62" s="283"/>
      <c r="CT62" s="283"/>
      <c r="CU62" s="283"/>
      <c r="CV62" s="283"/>
      <c r="CW62" s="283"/>
      <c r="CX62" s="283"/>
      <c r="CY62" s="283"/>
      <c r="CZ62" s="283"/>
      <c r="DA62" s="283"/>
      <c r="DB62" s="283"/>
      <c r="DC62" s="283"/>
      <c r="DD62" s="283"/>
      <c r="DE62" s="283"/>
      <c r="DF62" s="283"/>
      <c r="DG62" s="283"/>
      <c r="DH62" s="283"/>
      <c r="DI62" s="283"/>
      <c r="DJ62" s="283"/>
      <c r="DK62" s="283"/>
      <c r="DL62" s="283"/>
      <c r="DM62" s="283"/>
      <c r="DN62" s="283"/>
      <c r="DO62" s="283"/>
      <c r="DP62" s="283"/>
      <c r="DQ62" s="283"/>
      <c r="DR62" s="283"/>
      <c r="DS62" s="283"/>
      <c r="DT62" s="283"/>
      <c r="DU62" s="283"/>
      <c r="DV62" s="283"/>
      <c r="DW62" s="283"/>
      <c r="DX62" s="283"/>
      <c r="DY62" s="283"/>
      <c r="DZ62" s="283"/>
      <c r="EA62" s="283"/>
      <c r="EB62" s="283"/>
      <c r="EC62" s="283"/>
      <c r="ED62" s="283"/>
      <c r="EE62" s="283"/>
      <c r="EF62" s="283"/>
      <c r="EG62" s="283"/>
      <c r="EH62" s="283"/>
      <c r="EI62" s="283"/>
      <c r="EJ62" s="283"/>
      <c r="EK62" s="283"/>
      <c r="EL62" s="283"/>
      <c r="EM62" s="283"/>
      <c r="EN62" s="283"/>
      <c r="EO62" s="283"/>
      <c r="EP62" s="283"/>
      <c r="EQ62" s="283"/>
      <c r="ER62" s="283"/>
      <c r="ES62" s="283"/>
      <c r="ET62" s="283"/>
      <c r="EU62" s="283"/>
      <c r="EV62" s="283"/>
      <c r="EW62" s="283"/>
      <c r="EX62" s="283"/>
      <c r="EY62" s="283"/>
      <c r="EZ62" s="283"/>
      <c r="FA62" s="283"/>
      <c r="FB62" s="283"/>
      <c r="FC62" s="283"/>
      <c r="FD62" s="283"/>
      <c r="FE62" s="283"/>
      <c r="FF62" s="283"/>
      <c r="FG62" s="283"/>
      <c r="FH62" s="283"/>
      <c r="FI62" s="283"/>
      <c r="FJ62" s="283"/>
      <c r="FK62" s="283"/>
      <c r="FL62" s="283"/>
      <c r="FM62" s="283"/>
      <c r="FN62" s="283"/>
      <c r="FO62" s="283"/>
      <c r="FP62" s="283"/>
      <c r="FQ62" s="283"/>
      <c r="FR62" s="283"/>
      <c r="FS62" s="283"/>
      <c r="FT62" s="283"/>
      <c r="FU62" s="283"/>
      <c r="FV62" s="283"/>
      <c r="FW62" s="283"/>
      <c r="FX62" s="283"/>
      <c r="FY62" s="283"/>
      <c r="FZ62" s="283"/>
      <c r="GA62" s="283"/>
      <c r="GB62" s="283"/>
      <c r="GC62" s="283"/>
      <c r="GD62" s="283"/>
      <c r="GE62" s="283"/>
      <c r="GF62" s="283"/>
      <c r="GG62" s="283"/>
      <c r="GH62" s="283"/>
      <c r="GI62" s="283"/>
      <c r="GJ62" s="283"/>
      <c r="GK62" s="283"/>
      <c r="GL62" s="283"/>
      <c r="GM62" s="283"/>
      <c r="GN62" s="283"/>
      <c r="GO62" s="283"/>
      <c r="GP62" s="283"/>
      <c r="GQ62" s="283"/>
      <c r="GR62" s="283"/>
      <c r="GS62" s="283"/>
      <c r="GT62" s="283"/>
      <c r="GU62" s="283"/>
      <c r="GV62" s="283"/>
      <c r="GW62" s="283"/>
      <c r="GX62" s="283"/>
      <c r="GY62" s="283"/>
      <c r="GZ62" s="283"/>
      <c r="HA62" s="283"/>
      <c r="HB62" s="283"/>
      <c r="HC62" s="283"/>
      <c r="HD62" s="283"/>
      <c r="HE62" s="283"/>
      <c r="HF62" s="283"/>
      <c r="HG62" s="283"/>
      <c r="HH62" s="283"/>
      <c r="HI62" s="283"/>
      <c r="HJ62" s="283"/>
      <c r="HK62" s="283"/>
      <c r="HL62" s="283"/>
      <c r="HM62" s="283"/>
      <c r="HN62" s="283"/>
      <c r="HO62" s="283"/>
      <c r="HP62" s="283"/>
      <c r="HQ62" s="283"/>
      <c r="HR62" s="283"/>
      <c r="HS62" s="283"/>
      <c r="HT62" s="283"/>
      <c r="HU62" s="283"/>
      <c r="HV62" s="283"/>
      <c r="HW62" s="283"/>
      <c r="HX62" s="283"/>
      <c r="HY62" s="283"/>
      <c r="HZ62" s="283"/>
      <c r="IA62" s="283"/>
      <c r="IB62" s="283"/>
      <c r="IC62" s="283"/>
      <c r="ID62" s="283"/>
      <c r="IE62" s="283"/>
      <c r="IF62" s="283"/>
      <c r="IG62" s="283"/>
      <c r="IH62" s="283"/>
      <c r="II62" s="283"/>
      <c r="IJ62" s="283"/>
      <c r="IK62" s="283"/>
      <c r="IL62" s="283"/>
      <c r="IM62" s="283"/>
      <c r="IN62" s="283"/>
      <c r="IO62" s="283"/>
      <c r="IP62" s="283"/>
      <c r="IQ62" s="283"/>
      <c r="IR62" s="283"/>
      <c r="IS62" s="283"/>
      <c r="IT62" s="283"/>
      <c r="IU62" s="283"/>
      <c r="IV62" s="283"/>
    </row>
    <row r="63" spans="1:256" x14ac:dyDescent="0.25">
      <c r="A63" s="279" t="s">
        <v>756</v>
      </c>
      <c r="B63" s="280" t="s">
        <v>471</v>
      </c>
      <c r="C63" s="278" t="s">
        <v>758</v>
      </c>
      <c r="D63" s="272">
        <v>0</v>
      </c>
      <c r="E63" s="260">
        <f>+INDEX(Sheet1!A:D,MATCH(MapaIII!C63,Sheet1!A:A,0),2)</f>
        <v>2000000</v>
      </c>
      <c r="F63" s="281">
        <f t="shared" si="12"/>
        <v>2000000</v>
      </c>
      <c r="G63" s="282">
        <f t="shared" si="0"/>
        <v>4.3888026485511111E-3</v>
      </c>
      <c r="H63" s="107">
        <v>2000000</v>
      </c>
      <c r="I63" s="262"/>
      <c r="J63" s="262"/>
      <c r="K63" s="283"/>
      <c r="L63" s="267">
        <v>35</v>
      </c>
      <c r="M63" s="283"/>
      <c r="N63" s="268">
        <f t="shared" si="2"/>
        <v>0</v>
      </c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3"/>
      <c r="AN63" s="283"/>
      <c r="AO63" s="283"/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  <c r="BE63" s="283"/>
      <c r="BF63" s="283"/>
      <c r="BG63" s="283"/>
      <c r="BH63" s="283"/>
      <c r="BI63" s="283"/>
      <c r="BJ63" s="283"/>
      <c r="BK63" s="283"/>
      <c r="BL63" s="283"/>
      <c r="BM63" s="283"/>
      <c r="BN63" s="283"/>
      <c r="BO63" s="283"/>
      <c r="BP63" s="283"/>
      <c r="BQ63" s="283"/>
      <c r="BR63" s="283"/>
      <c r="BS63" s="283"/>
      <c r="BT63" s="283"/>
      <c r="BU63" s="283"/>
      <c r="BV63" s="283"/>
      <c r="BW63" s="283"/>
      <c r="BX63" s="283"/>
      <c r="BY63" s="283"/>
      <c r="BZ63" s="283"/>
      <c r="CA63" s="283"/>
      <c r="CB63" s="283"/>
      <c r="CC63" s="283"/>
      <c r="CD63" s="283"/>
      <c r="CE63" s="283"/>
      <c r="CF63" s="283"/>
      <c r="CG63" s="283"/>
      <c r="CH63" s="283"/>
      <c r="CI63" s="283"/>
      <c r="CJ63" s="283"/>
      <c r="CK63" s="283"/>
      <c r="CL63" s="283"/>
      <c r="CM63" s="283"/>
      <c r="CN63" s="283"/>
      <c r="CO63" s="283"/>
      <c r="CP63" s="283"/>
      <c r="CQ63" s="283"/>
      <c r="CR63" s="283"/>
      <c r="CS63" s="283"/>
      <c r="CT63" s="283"/>
      <c r="CU63" s="283"/>
      <c r="CV63" s="283"/>
      <c r="CW63" s="283"/>
      <c r="CX63" s="283"/>
      <c r="CY63" s="283"/>
      <c r="CZ63" s="283"/>
      <c r="DA63" s="283"/>
      <c r="DB63" s="283"/>
      <c r="DC63" s="283"/>
      <c r="DD63" s="283"/>
      <c r="DE63" s="283"/>
      <c r="DF63" s="283"/>
      <c r="DG63" s="283"/>
      <c r="DH63" s="283"/>
      <c r="DI63" s="283"/>
      <c r="DJ63" s="283"/>
      <c r="DK63" s="283"/>
      <c r="DL63" s="283"/>
      <c r="DM63" s="283"/>
      <c r="DN63" s="283"/>
      <c r="DO63" s="283"/>
      <c r="DP63" s="283"/>
      <c r="DQ63" s="283"/>
      <c r="DR63" s="283"/>
      <c r="DS63" s="283"/>
      <c r="DT63" s="283"/>
      <c r="DU63" s="283"/>
      <c r="DV63" s="283"/>
      <c r="DW63" s="283"/>
      <c r="DX63" s="283"/>
      <c r="DY63" s="283"/>
      <c r="DZ63" s="283"/>
      <c r="EA63" s="283"/>
      <c r="EB63" s="283"/>
      <c r="EC63" s="283"/>
      <c r="ED63" s="283"/>
      <c r="EE63" s="283"/>
      <c r="EF63" s="283"/>
      <c r="EG63" s="283"/>
      <c r="EH63" s="283"/>
      <c r="EI63" s="283"/>
      <c r="EJ63" s="283"/>
      <c r="EK63" s="283"/>
      <c r="EL63" s="283"/>
      <c r="EM63" s="283"/>
      <c r="EN63" s="283"/>
      <c r="EO63" s="283"/>
      <c r="EP63" s="283"/>
      <c r="EQ63" s="283"/>
      <c r="ER63" s="283"/>
      <c r="ES63" s="283"/>
      <c r="ET63" s="283"/>
      <c r="EU63" s="283"/>
      <c r="EV63" s="283"/>
      <c r="EW63" s="283"/>
      <c r="EX63" s="283"/>
      <c r="EY63" s="283"/>
      <c r="EZ63" s="283"/>
      <c r="FA63" s="283"/>
      <c r="FB63" s="283"/>
      <c r="FC63" s="283"/>
      <c r="FD63" s="283"/>
      <c r="FE63" s="283"/>
      <c r="FF63" s="283"/>
      <c r="FG63" s="283"/>
      <c r="FH63" s="283"/>
      <c r="FI63" s="283"/>
      <c r="FJ63" s="283"/>
      <c r="FK63" s="283"/>
      <c r="FL63" s="283"/>
      <c r="FM63" s="283"/>
      <c r="FN63" s="283"/>
      <c r="FO63" s="283"/>
      <c r="FP63" s="283"/>
      <c r="FQ63" s="283"/>
      <c r="FR63" s="283"/>
      <c r="FS63" s="283"/>
      <c r="FT63" s="283"/>
      <c r="FU63" s="283"/>
      <c r="FV63" s="283"/>
      <c r="FW63" s="283"/>
      <c r="FX63" s="283"/>
      <c r="FY63" s="283"/>
      <c r="FZ63" s="283"/>
      <c r="GA63" s="283"/>
      <c r="GB63" s="283"/>
      <c r="GC63" s="283"/>
      <c r="GD63" s="283"/>
      <c r="GE63" s="283"/>
      <c r="GF63" s="283"/>
      <c r="GG63" s="283"/>
      <c r="GH63" s="283"/>
      <c r="GI63" s="283"/>
      <c r="GJ63" s="283"/>
      <c r="GK63" s="283"/>
      <c r="GL63" s="283"/>
      <c r="GM63" s="283"/>
      <c r="GN63" s="283"/>
      <c r="GO63" s="283"/>
      <c r="GP63" s="283"/>
      <c r="GQ63" s="283"/>
      <c r="GR63" s="283"/>
      <c r="GS63" s="283"/>
      <c r="GT63" s="283"/>
      <c r="GU63" s="283"/>
      <c r="GV63" s="283"/>
      <c r="GW63" s="283"/>
      <c r="GX63" s="283"/>
      <c r="GY63" s="283"/>
      <c r="GZ63" s="283"/>
      <c r="HA63" s="283"/>
      <c r="HB63" s="283"/>
      <c r="HC63" s="283"/>
      <c r="HD63" s="283"/>
      <c r="HE63" s="283"/>
      <c r="HF63" s="283"/>
      <c r="HG63" s="283"/>
      <c r="HH63" s="283"/>
      <c r="HI63" s="283"/>
      <c r="HJ63" s="283"/>
      <c r="HK63" s="283"/>
      <c r="HL63" s="283"/>
      <c r="HM63" s="283"/>
      <c r="HN63" s="283"/>
      <c r="HO63" s="283"/>
      <c r="HP63" s="283"/>
      <c r="HQ63" s="283"/>
      <c r="HR63" s="283"/>
      <c r="HS63" s="283"/>
      <c r="HT63" s="283"/>
      <c r="HU63" s="283"/>
      <c r="HV63" s="283"/>
      <c r="HW63" s="283"/>
      <c r="HX63" s="283"/>
      <c r="HY63" s="283"/>
      <c r="HZ63" s="283"/>
      <c r="IA63" s="283"/>
      <c r="IB63" s="283"/>
      <c r="IC63" s="283"/>
      <c r="ID63" s="283"/>
      <c r="IE63" s="283"/>
      <c r="IF63" s="283"/>
      <c r="IG63" s="283"/>
      <c r="IH63" s="283"/>
      <c r="II63" s="283"/>
      <c r="IJ63" s="283"/>
      <c r="IK63" s="283"/>
      <c r="IL63" s="283"/>
      <c r="IM63" s="283"/>
      <c r="IN63" s="283"/>
      <c r="IO63" s="283"/>
      <c r="IP63" s="283"/>
      <c r="IQ63" s="283"/>
      <c r="IR63" s="283"/>
      <c r="IS63" s="283"/>
      <c r="IT63" s="283"/>
      <c r="IU63" s="283"/>
      <c r="IV63" s="283"/>
    </row>
    <row r="64" spans="1:256" x14ac:dyDescent="0.25">
      <c r="A64" s="279" t="s">
        <v>756</v>
      </c>
      <c r="B64" s="280" t="s">
        <v>451</v>
      </c>
      <c r="C64" s="278" t="s">
        <v>759</v>
      </c>
      <c r="D64" s="272">
        <v>0</v>
      </c>
      <c r="E64" s="260">
        <f>+INDEX(Sheet1!A:D,MATCH(MapaIII!C64,Sheet1!A:A,0),2)</f>
        <v>700000</v>
      </c>
      <c r="F64" s="281">
        <f t="shared" si="12"/>
        <v>700000</v>
      </c>
      <c r="G64" s="282">
        <f t="shared" si="0"/>
        <v>1.5360809269928889E-3</v>
      </c>
      <c r="H64" s="107">
        <v>500000</v>
      </c>
      <c r="I64" s="283"/>
      <c r="J64" s="283"/>
      <c r="K64" s="283"/>
      <c r="L64" s="267">
        <v>34</v>
      </c>
      <c r="M64" s="283"/>
      <c r="N64" s="268">
        <f t="shared" si="2"/>
        <v>-200000</v>
      </c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3"/>
      <c r="AN64" s="283"/>
      <c r="AO64" s="283"/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  <c r="BE64" s="283"/>
      <c r="BF64" s="283"/>
      <c r="BG64" s="283"/>
      <c r="BH64" s="283"/>
      <c r="BI64" s="283"/>
      <c r="BJ64" s="283"/>
      <c r="BK64" s="283"/>
      <c r="BL64" s="283"/>
      <c r="BM64" s="283"/>
      <c r="BN64" s="283"/>
      <c r="BO64" s="283"/>
      <c r="BP64" s="283"/>
      <c r="BQ64" s="283"/>
      <c r="BR64" s="283"/>
      <c r="BS64" s="283"/>
      <c r="BT64" s="283"/>
      <c r="BU64" s="283"/>
      <c r="BV64" s="283"/>
      <c r="BW64" s="283"/>
      <c r="BX64" s="283"/>
      <c r="BY64" s="283"/>
      <c r="BZ64" s="283"/>
      <c r="CA64" s="283"/>
      <c r="CB64" s="283"/>
      <c r="CC64" s="283"/>
      <c r="CD64" s="283"/>
      <c r="CE64" s="283"/>
      <c r="CF64" s="283"/>
      <c r="CG64" s="283"/>
      <c r="CH64" s="283"/>
      <c r="CI64" s="283"/>
      <c r="CJ64" s="283"/>
      <c r="CK64" s="283"/>
      <c r="CL64" s="283"/>
      <c r="CM64" s="283"/>
      <c r="CN64" s="283"/>
      <c r="CO64" s="283"/>
      <c r="CP64" s="283"/>
      <c r="CQ64" s="283"/>
      <c r="CR64" s="283"/>
      <c r="CS64" s="283"/>
      <c r="CT64" s="283"/>
      <c r="CU64" s="283"/>
      <c r="CV64" s="283"/>
      <c r="CW64" s="283"/>
      <c r="CX64" s="283"/>
      <c r="CY64" s="283"/>
      <c r="CZ64" s="283"/>
      <c r="DA64" s="283"/>
      <c r="DB64" s="283"/>
      <c r="DC64" s="283"/>
      <c r="DD64" s="283"/>
      <c r="DE64" s="283"/>
      <c r="DF64" s="283"/>
      <c r="DG64" s="283"/>
      <c r="DH64" s="283"/>
      <c r="DI64" s="283"/>
      <c r="DJ64" s="283"/>
      <c r="DK64" s="283"/>
      <c r="DL64" s="283"/>
      <c r="DM64" s="283"/>
      <c r="DN64" s="283"/>
      <c r="DO64" s="283"/>
      <c r="DP64" s="283"/>
      <c r="DQ64" s="283"/>
      <c r="DR64" s="283"/>
      <c r="DS64" s="283"/>
      <c r="DT64" s="283"/>
      <c r="DU64" s="283"/>
      <c r="DV64" s="283"/>
      <c r="DW64" s="283"/>
      <c r="DX64" s="283"/>
      <c r="DY64" s="283"/>
      <c r="DZ64" s="283"/>
      <c r="EA64" s="283"/>
      <c r="EB64" s="283"/>
      <c r="EC64" s="283"/>
      <c r="ED64" s="283"/>
      <c r="EE64" s="283"/>
      <c r="EF64" s="283"/>
      <c r="EG64" s="283"/>
      <c r="EH64" s="283"/>
      <c r="EI64" s="283"/>
      <c r="EJ64" s="283"/>
      <c r="EK64" s="283"/>
      <c r="EL64" s="283"/>
      <c r="EM64" s="283"/>
      <c r="EN64" s="283"/>
      <c r="EO64" s="283"/>
      <c r="EP64" s="283"/>
      <c r="EQ64" s="283"/>
      <c r="ER64" s="283"/>
      <c r="ES64" s="283"/>
      <c r="ET64" s="283"/>
      <c r="EU64" s="283"/>
      <c r="EV64" s="283"/>
      <c r="EW64" s="283"/>
      <c r="EX64" s="283"/>
      <c r="EY64" s="283"/>
      <c r="EZ64" s="283"/>
      <c r="FA64" s="283"/>
      <c r="FB64" s="283"/>
      <c r="FC64" s="283"/>
      <c r="FD64" s="283"/>
      <c r="FE64" s="283"/>
      <c r="FF64" s="283"/>
      <c r="FG64" s="283"/>
      <c r="FH64" s="283"/>
      <c r="FI64" s="283"/>
      <c r="FJ64" s="283"/>
      <c r="FK64" s="283"/>
      <c r="FL64" s="283"/>
      <c r="FM64" s="283"/>
      <c r="FN64" s="283"/>
      <c r="FO64" s="283"/>
      <c r="FP64" s="283"/>
      <c r="FQ64" s="283"/>
      <c r="FR64" s="283"/>
      <c r="FS64" s="283"/>
      <c r="FT64" s="283"/>
      <c r="FU64" s="283"/>
      <c r="FV64" s="283"/>
      <c r="FW64" s="283"/>
      <c r="FX64" s="283"/>
      <c r="FY64" s="283"/>
      <c r="FZ64" s="283"/>
      <c r="GA64" s="283"/>
      <c r="GB64" s="283"/>
      <c r="GC64" s="283"/>
      <c r="GD64" s="283"/>
      <c r="GE64" s="283"/>
      <c r="GF64" s="283"/>
      <c r="GG64" s="283"/>
      <c r="GH64" s="283"/>
      <c r="GI64" s="283"/>
      <c r="GJ64" s="283"/>
      <c r="GK64" s="283"/>
      <c r="GL64" s="283"/>
      <c r="GM64" s="283"/>
      <c r="GN64" s="283"/>
      <c r="GO64" s="283"/>
      <c r="GP64" s="283"/>
      <c r="GQ64" s="283"/>
      <c r="GR64" s="283"/>
      <c r="GS64" s="283"/>
      <c r="GT64" s="283"/>
      <c r="GU64" s="283"/>
      <c r="GV64" s="283"/>
      <c r="GW64" s="283"/>
      <c r="GX64" s="283"/>
      <c r="GY64" s="283"/>
      <c r="GZ64" s="283"/>
      <c r="HA64" s="283"/>
      <c r="HB64" s="283"/>
      <c r="HC64" s="283"/>
      <c r="HD64" s="283"/>
      <c r="HE64" s="283"/>
      <c r="HF64" s="283"/>
      <c r="HG64" s="283"/>
      <c r="HH64" s="283"/>
      <c r="HI64" s="283"/>
      <c r="HJ64" s="283"/>
      <c r="HK64" s="283"/>
      <c r="HL64" s="283"/>
      <c r="HM64" s="283"/>
      <c r="HN64" s="283"/>
      <c r="HO64" s="283"/>
      <c r="HP64" s="283"/>
      <c r="HQ64" s="283"/>
      <c r="HR64" s="283"/>
      <c r="HS64" s="283"/>
      <c r="HT64" s="283"/>
      <c r="HU64" s="283"/>
      <c r="HV64" s="283"/>
      <c r="HW64" s="283"/>
      <c r="HX64" s="283"/>
      <c r="HY64" s="283"/>
      <c r="HZ64" s="283"/>
      <c r="IA64" s="283"/>
      <c r="IB64" s="283"/>
      <c r="IC64" s="283"/>
      <c r="ID64" s="283"/>
      <c r="IE64" s="283"/>
      <c r="IF64" s="283"/>
      <c r="IG64" s="283"/>
      <c r="IH64" s="283"/>
      <c r="II64" s="283"/>
      <c r="IJ64" s="283"/>
      <c r="IK64" s="283"/>
      <c r="IL64" s="283"/>
      <c r="IM64" s="283"/>
      <c r="IN64" s="283"/>
      <c r="IO64" s="283"/>
      <c r="IP64" s="283"/>
      <c r="IQ64" s="283"/>
      <c r="IR64" s="283"/>
      <c r="IS64" s="283"/>
      <c r="IT64" s="283"/>
      <c r="IU64" s="283"/>
      <c r="IV64" s="283"/>
    </row>
    <row r="65" spans="1:256" x14ac:dyDescent="0.25">
      <c r="A65" s="279" t="s">
        <v>760</v>
      </c>
      <c r="B65" s="280" t="s">
        <v>487</v>
      </c>
      <c r="C65" s="278" t="s">
        <v>761</v>
      </c>
      <c r="D65" s="272">
        <v>0</v>
      </c>
      <c r="E65" s="260">
        <f>+INDEX(Sheet1!A:D,MATCH(MapaIII!C65,Sheet1!A:A,0),2)</f>
        <v>1000000</v>
      </c>
      <c r="F65" s="281">
        <f t="shared" si="12"/>
        <v>1000000</v>
      </c>
      <c r="G65" s="282">
        <f t="shared" si="0"/>
        <v>2.1944013242755555E-3</v>
      </c>
      <c r="H65" s="107">
        <v>1000000</v>
      </c>
      <c r="I65" s="283"/>
      <c r="J65" s="283"/>
      <c r="K65" s="283"/>
      <c r="L65" s="267">
        <v>63</v>
      </c>
      <c r="M65" s="283"/>
      <c r="N65" s="268">
        <f t="shared" si="2"/>
        <v>0</v>
      </c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  <c r="BE65" s="283"/>
      <c r="BF65" s="283"/>
      <c r="BG65" s="283"/>
      <c r="BH65" s="283"/>
      <c r="BI65" s="283"/>
      <c r="BJ65" s="283"/>
      <c r="BK65" s="283"/>
      <c r="BL65" s="283"/>
      <c r="BM65" s="283"/>
      <c r="BN65" s="283"/>
      <c r="BO65" s="283"/>
      <c r="BP65" s="283"/>
      <c r="BQ65" s="283"/>
      <c r="BR65" s="283"/>
      <c r="BS65" s="283"/>
      <c r="BT65" s="283"/>
      <c r="BU65" s="283"/>
      <c r="BV65" s="283"/>
      <c r="BW65" s="283"/>
      <c r="BX65" s="283"/>
      <c r="BY65" s="283"/>
      <c r="BZ65" s="283"/>
      <c r="CA65" s="283"/>
      <c r="CB65" s="283"/>
      <c r="CC65" s="283"/>
      <c r="CD65" s="283"/>
      <c r="CE65" s="283"/>
      <c r="CF65" s="283"/>
      <c r="CG65" s="283"/>
      <c r="CH65" s="283"/>
      <c r="CI65" s="283"/>
      <c r="CJ65" s="283"/>
      <c r="CK65" s="283"/>
      <c r="CL65" s="283"/>
      <c r="CM65" s="283"/>
      <c r="CN65" s="283"/>
      <c r="CO65" s="283"/>
      <c r="CP65" s="283"/>
      <c r="CQ65" s="283"/>
      <c r="CR65" s="283"/>
      <c r="CS65" s="283"/>
      <c r="CT65" s="283"/>
      <c r="CU65" s="283"/>
      <c r="CV65" s="283"/>
      <c r="CW65" s="283"/>
      <c r="CX65" s="283"/>
      <c r="CY65" s="283"/>
      <c r="CZ65" s="283"/>
      <c r="DA65" s="283"/>
      <c r="DB65" s="283"/>
      <c r="DC65" s="283"/>
      <c r="DD65" s="283"/>
      <c r="DE65" s="283"/>
      <c r="DF65" s="283"/>
      <c r="DG65" s="283"/>
      <c r="DH65" s="283"/>
      <c r="DI65" s="283"/>
      <c r="DJ65" s="283"/>
      <c r="DK65" s="283"/>
      <c r="DL65" s="283"/>
      <c r="DM65" s="283"/>
      <c r="DN65" s="283"/>
      <c r="DO65" s="283"/>
      <c r="DP65" s="283"/>
      <c r="DQ65" s="283"/>
      <c r="DR65" s="283"/>
      <c r="DS65" s="283"/>
      <c r="DT65" s="283"/>
      <c r="DU65" s="283"/>
      <c r="DV65" s="283"/>
      <c r="DW65" s="283"/>
      <c r="DX65" s="283"/>
      <c r="DY65" s="283"/>
      <c r="DZ65" s="283"/>
      <c r="EA65" s="283"/>
      <c r="EB65" s="283"/>
      <c r="EC65" s="283"/>
      <c r="ED65" s="283"/>
      <c r="EE65" s="283"/>
      <c r="EF65" s="283"/>
      <c r="EG65" s="283"/>
      <c r="EH65" s="283"/>
      <c r="EI65" s="283"/>
      <c r="EJ65" s="283"/>
      <c r="EK65" s="283"/>
      <c r="EL65" s="283"/>
      <c r="EM65" s="283"/>
      <c r="EN65" s="283"/>
      <c r="EO65" s="283"/>
      <c r="EP65" s="283"/>
      <c r="EQ65" s="283"/>
      <c r="ER65" s="283"/>
      <c r="ES65" s="283"/>
      <c r="ET65" s="283"/>
      <c r="EU65" s="283"/>
      <c r="EV65" s="283"/>
      <c r="EW65" s="283"/>
      <c r="EX65" s="283"/>
      <c r="EY65" s="283"/>
      <c r="EZ65" s="283"/>
      <c r="FA65" s="283"/>
      <c r="FB65" s="283"/>
      <c r="FC65" s="283"/>
      <c r="FD65" s="283"/>
      <c r="FE65" s="283"/>
      <c r="FF65" s="283"/>
      <c r="FG65" s="283"/>
      <c r="FH65" s="283"/>
      <c r="FI65" s="283"/>
      <c r="FJ65" s="283"/>
      <c r="FK65" s="283"/>
      <c r="FL65" s="283"/>
      <c r="FM65" s="283"/>
      <c r="FN65" s="283"/>
      <c r="FO65" s="283"/>
      <c r="FP65" s="283"/>
      <c r="FQ65" s="283"/>
      <c r="FR65" s="283"/>
      <c r="FS65" s="283"/>
      <c r="FT65" s="283"/>
      <c r="FU65" s="283"/>
      <c r="FV65" s="283"/>
      <c r="FW65" s="283"/>
      <c r="FX65" s="283"/>
      <c r="FY65" s="283"/>
      <c r="FZ65" s="283"/>
      <c r="GA65" s="283"/>
      <c r="GB65" s="283"/>
      <c r="GC65" s="283"/>
      <c r="GD65" s="283"/>
      <c r="GE65" s="283"/>
      <c r="GF65" s="283"/>
      <c r="GG65" s="283"/>
      <c r="GH65" s="283"/>
      <c r="GI65" s="283"/>
      <c r="GJ65" s="283"/>
      <c r="GK65" s="283"/>
      <c r="GL65" s="283"/>
      <c r="GM65" s="283"/>
      <c r="GN65" s="283"/>
      <c r="GO65" s="283"/>
      <c r="GP65" s="283"/>
      <c r="GQ65" s="283"/>
      <c r="GR65" s="283"/>
      <c r="GS65" s="283"/>
      <c r="GT65" s="283"/>
      <c r="GU65" s="283"/>
      <c r="GV65" s="283"/>
      <c r="GW65" s="283"/>
      <c r="GX65" s="283"/>
      <c r="GY65" s="283"/>
      <c r="GZ65" s="283"/>
      <c r="HA65" s="283"/>
      <c r="HB65" s="283"/>
      <c r="HC65" s="283"/>
      <c r="HD65" s="283"/>
      <c r="HE65" s="283"/>
      <c r="HF65" s="283"/>
      <c r="HG65" s="283"/>
      <c r="HH65" s="283"/>
      <c r="HI65" s="283"/>
      <c r="HJ65" s="283"/>
      <c r="HK65" s="283"/>
      <c r="HL65" s="283"/>
      <c r="HM65" s="283"/>
      <c r="HN65" s="283"/>
      <c r="HO65" s="283"/>
      <c r="HP65" s="283"/>
      <c r="HQ65" s="283"/>
      <c r="HR65" s="283"/>
      <c r="HS65" s="283"/>
      <c r="HT65" s="283"/>
      <c r="HU65" s="283"/>
      <c r="HV65" s="283"/>
      <c r="HW65" s="283"/>
      <c r="HX65" s="283"/>
      <c r="HY65" s="283"/>
      <c r="HZ65" s="283"/>
      <c r="IA65" s="283"/>
      <c r="IB65" s="283"/>
      <c r="IC65" s="283"/>
      <c r="ID65" s="283"/>
      <c r="IE65" s="283"/>
      <c r="IF65" s="283"/>
      <c r="IG65" s="283"/>
      <c r="IH65" s="283"/>
      <c r="II65" s="283"/>
      <c r="IJ65" s="283"/>
      <c r="IK65" s="283"/>
      <c r="IL65" s="283"/>
      <c r="IM65" s="283"/>
      <c r="IN65" s="283"/>
      <c r="IO65" s="283"/>
      <c r="IP65" s="283"/>
      <c r="IQ65" s="283"/>
      <c r="IR65" s="283"/>
      <c r="IS65" s="283"/>
      <c r="IT65" s="283"/>
      <c r="IU65" s="283"/>
      <c r="IV65" s="283"/>
    </row>
    <row r="66" spans="1:256" x14ac:dyDescent="0.25">
      <c r="A66" s="279" t="s">
        <v>762</v>
      </c>
      <c r="B66" s="280" t="s">
        <v>471</v>
      </c>
      <c r="C66" s="278" t="s">
        <v>763</v>
      </c>
      <c r="D66" s="272">
        <v>0</v>
      </c>
      <c r="E66" s="260">
        <f>+INDEX(Sheet1!A:D,MATCH(MapaIII!C66,Sheet1!A:A,0),2)</f>
        <v>15000000</v>
      </c>
      <c r="F66" s="281">
        <f>D66+E66</f>
        <v>15000000</v>
      </c>
      <c r="G66" s="282">
        <f t="shared" si="0"/>
        <v>3.2916019864133332E-2</v>
      </c>
      <c r="H66" s="107">
        <v>20000000</v>
      </c>
      <c r="I66" s="283"/>
      <c r="J66" s="283"/>
      <c r="K66" s="283"/>
      <c r="L66" s="267">
        <v>33</v>
      </c>
      <c r="M66" s="283"/>
      <c r="N66" s="268">
        <f t="shared" si="2"/>
        <v>5000000</v>
      </c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3"/>
      <c r="AN66" s="283"/>
      <c r="AO66" s="283"/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  <c r="BE66" s="283"/>
      <c r="BF66" s="283"/>
      <c r="BG66" s="283"/>
      <c r="BH66" s="283"/>
      <c r="BI66" s="283"/>
      <c r="BJ66" s="283"/>
      <c r="BK66" s="283"/>
      <c r="BL66" s="283"/>
      <c r="BM66" s="283"/>
      <c r="BN66" s="283"/>
      <c r="BO66" s="283"/>
      <c r="BP66" s="283"/>
      <c r="BQ66" s="283"/>
      <c r="BR66" s="283"/>
      <c r="BS66" s="283"/>
      <c r="BT66" s="283"/>
      <c r="BU66" s="283"/>
      <c r="BV66" s="283"/>
      <c r="BW66" s="283"/>
      <c r="BX66" s="283"/>
      <c r="BY66" s="283"/>
      <c r="BZ66" s="283"/>
      <c r="CA66" s="283"/>
      <c r="CB66" s="283"/>
      <c r="CC66" s="283"/>
      <c r="CD66" s="283"/>
      <c r="CE66" s="283"/>
      <c r="CF66" s="283"/>
      <c r="CG66" s="283"/>
      <c r="CH66" s="283"/>
      <c r="CI66" s="283"/>
      <c r="CJ66" s="283"/>
      <c r="CK66" s="283"/>
      <c r="CL66" s="283"/>
      <c r="CM66" s="283"/>
      <c r="CN66" s="283"/>
      <c r="CO66" s="283"/>
      <c r="CP66" s="283"/>
      <c r="CQ66" s="283"/>
      <c r="CR66" s="283"/>
      <c r="CS66" s="283"/>
      <c r="CT66" s="283"/>
      <c r="CU66" s="283"/>
      <c r="CV66" s="283"/>
      <c r="CW66" s="283"/>
      <c r="CX66" s="283"/>
      <c r="CY66" s="283"/>
      <c r="CZ66" s="283"/>
      <c r="DA66" s="283"/>
      <c r="DB66" s="283"/>
      <c r="DC66" s="283"/>
      <c r="DD66" s="283"/>
      <c r="DE66" s="283"/>
      <c r="DF66" s="283"/>
      <c r="DG66" s="283"/>
      <c r="DH66" s="283"/>
      <c r="DI66" s="283"/>
      <c r="DJ66" s="283"/>
      <c r="DK66" s="283"/>
      <c r="DL66" s="283"/>
      <c r="DM66" s="283"/>
      <c r="DN66" s="283"/>
      <c r="DO66" s="283"/>
      <c r="DP66" s="283"/>
      <c r="DQ66" s="283"/>
      <c r="DR66" s="283"/>
      <c r="DS66" s="283"/>
      <c r="DT66" s="283"/>
      <c r="DU66" s="283"/>
      <c r="DV66" s="283"/>
      <c r="DW66" s="283"/>
      <c r="DX66" s="283"/>
      <c r="DY66" s="283"/>
      <c r="DZ66" s="283"/>
      <c r="EA66" s="283"/>
      <c r="EB66" s="283"/>
      <c r="EC66" s="283"/>
      <c r="ED66" s="283"/>
      <c r="EE66" s="283"/>
      <c r="EF66" s="283"/>
      <c r="EG66" s="283"/>
      <c r="EH66" s="283"/>
      <c r="EI66" s="283"/>
      <c r="EJ66" s="283"/>
      <c r="EK66" s="283"/>
      <c r="EL66" s="283"/>
      <c r="EM66" s="283"/>
      <c r="EN66" s="283"/>
      <c r="EO66" s="283"/>
      <c r="EP66" s="283"/>
      <c r="EQ66" s="283"/>
      <c r="ER66" s="283"/>
      <c r="ES66" s="283"/>
      <c r="ET66" s="283"/>
      <c r="EU66" s="283"/>
      <c r="EV66" s="283"/>
      <c r="EW66" s="283"/>
      <c r="EX66" s="283"/>
      <c r="EY66" s="283"/>
      <c r="EZ66" s="283"/>
      <c r="FA66" s="283"/>
      <c r="FB66" s="283"/>
      <c r="FC66" s="283"/>
      <c r="FD66" s="283"/>
      <c r="FE66" s="283"/>
      <c r="FF66" s="283"/>
      <c r="FG66" s="283"/>
      <c r="FH66" s="283"/>
      <c r="FI66" s="283"/>
      <c r="FJ66" s="283"/>
      <c r="FK66" s="283"/>
      <c r="FL66" s="283"/>
      <c r="FM66" s="283"/>
      <c r="FN66" s="283"/>
      <c r="FO66" s="283"/>
      <c r="FP66" s="283"/>
      <c r="FQ66" s="283"/>
      <c r="FR66" s="283"/>
      <c r="FS66" s="283"/>
      <c r="FT66" s="283"/>
      <c r="FU66" s="283"/>
      <c r="FV66" s="283"/>
      <c r="FW66" s="283"/>
      <c r="FX66" s="283"/>
      <c r="FY66" s="283"/>
      <c r="FZ66" s="283"/>
      <c r="GA66" s="283"/>
      <c r="GB66" s="283"/>
      <c r="GC66" s="283"/>
      <c r="GD66" s="283"/>
      <c r="GE66" s="283"/>
      <c r="GF66" s="283"/>
      <c r="GG66" s="283"/>
      <c r="GH66" s="283"/>
      <c r="GI66" s="283"/>
      <c r="GJ66" s="283"/>
      <c r="GK66" s="283"/>
      <c r="GL66" s="283"/>
      <c r="GM66" s="283"/>
      <c r="GN66" s="283"/>
      <c r="GO66" s="283"/>
      <c r="GP66" s="283"/>
      <c r="GQ66" s="283"/>
      <c r="GR66" s="283"/>
      <c r="GS66" s="283"/>
      <c r="GT66" s="283"/>
      <c r="GU66" s="283"/>
      <c r="GV66" s="283"/>
      <c r="GW66" s="283"/>
      <c r="GX66" s="283"/>
      <c r="GY66" s="283"/>
      <c r="GZ66" s="283"/>
      <c r="HA66" s="283"/>
      <c r="HB66" s="283"/>
      <c r="HC66" s="283"/>
      <c r="HD66" s="283"/>
      <c r="HE66" s="283"/>
      <c r="HF66" s="283"/>
      <c r="HG66" s="283"/>
      <c r="HH66" s="283"/>
      <c r="HI66" s="283"/>
      <c r="HJ66" s="283"/>
      <c r="HK66" s="283"/>
      <c r="HL66" s="283"/>
      <c r="HM66" s="283"/>
      <c r="HN66" s="283"/>
      <c r="HO66" s="283"/>
      <c r="HP66" s="283"/>
      <c r="HQ66" s="283"/>
      <c r="HR66" s="283"/>
      <c r="HS66" s="283"/>
      <c r="HT66" s="283"/>
      <c r="HU66" s="283"/>
      <c r="HV66" s="283"/>
      <c r="HW66" s="283"/>
      <c r="HX66" s="283"/>
      <c r="HY66" s="283"/>
      <c r="HZ66" s="283"/>
      <c r="IA66" s="283"/>
      <c r="IB66" s="283"/>
      <c r="IC66" s="283"/>
      <c r="ID66" s="283"/>
      <c r="IE66" s="283"/>
      <c r="IF66" s="283"/>
      <c r="IG66" s="283"/>
      <c r="IH66" s="283"/>
      <c r="II66" s="283"/>
      <c r="IJ66" s="283"/>
      <c r="IK66" s="283"/>
      <c r="IL66" s="283"/>
      <c r="IM66" s="283"/>
      <c r="IN66" s="283"/>
      <c r="IO66" s="283"/>
      <c r="IP66" s="283"/>
      <c r="IQ66" s="283"/>
      <c r="IR66" s="283"/>
      <c r="IS66" s="283"/>
      <c r="IT66" s="283"/>
      <c r="IU66" s="283"/>
      <c r="IV66" s="283"/>
    </row>
    <row r="67" spans="1:256" x14ac:dyDescent="0.25">
      <c r="A67" s="279" t="s">
        <v>762</v>
      </c>
      <c r="B67" s="280" t="s">
        <v>439</v>
      </c>
      <c r="C67" s="278" t="s">
        <v>764</v>
      </c>
      <c r="D67" s="272">
        <v>0</v>
      </c>
      <c r="E67" s="260">
        <f>+INDEX(Sheet1!A:D,MATCH(MapaIII!C67,Sheet1!A:A,0),2)</f>
        <v>1000000</v>
      </c>
      <c r="F67" s="281">
        <f t="shared" si="12"/>
        <v>1000000</v>
      </c>
      <c r="G67" s="282">
        <f t="shared" si="0"/>
        <v>2.1944013242755555E-3</v>
      </c>
      <c r="H67" s="107">
        <v>1000000</v>
      </c>
      <c r="I67" s="283"/>
      <c r="J67" s="283"/>
      <c r="K67" s="283"/>
      <c r="L67" s="267">
        <v>6</v>
      </c>
      <c r="M67" s="283"/>
      <c r="N67" s="268">
        <f t="shared" si="2"/>
        <v>0</v>
      </c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3"/>
      <c r="AN67" s="283"/>
      <c r="AO67" s="283"/>
      <c r="AP67" s="283"/>
      <c r="AQ67" s="283"/>
      <c r="AR67" s="283"/>
      <c r="AS67" s="283"/>
      <c r="AT67" s="283"/>
      <c r="AU67" s="283"/>
      <c r="AV67" s="283"/>
      <c r="AW67" s="283"/>
      <c r="AX67" s="283"/>
      <c r="AY67" s="283"/>
      <c r="AZ67" s="283"/>
      <c r="BA67" s="283"/>
      <c r="BB67" s="283"/>
      <c r="BC67" s="283"/>
      <c r="BD67" s="283"/>
      <c r="BE67" s="283"/>
      <c r="BF67" s="283"/>
      <c r="BG67" s="283"/>
      <c r="BH67" s="283"/>
      <c r="BI67" s="283"/>
      <c r="BJ67" s="283"/>
      <c r="BK67" s="283"/>
      <c r="BL67" s="283"/>
      <c r="BM67" s="283"/>
      <c r="BN67" s="283"/>
      <c r="BO67" s="283"/>
      <c r="BP67" s="283"/>
      <c r="BQ67" s="283"/>
      <c r="BR67" s="283"/>
      <c r="BS67" s="283"/>
      <c r="BT67" s="283"/>
      <c r="BU67" s="283"/>
      <c r="BV67" s="283"/>
      <c r="BW67" s="283"/>
      <c r="BX67" s="283"/>
      <c r="BY67" s="283"/>
      <c r="BZ67" s="283"/>
      <c r="CA67" s="283"/>
      <c r="CB67" s="283"/>
      <c r="CC67" s="283"/>
      <c r="CD67" s="283"/>
      <c r="CE67" s="283"/>
      <c r="CF67" s="283"/>
      <c r="CG67" s="283"/>
      <c r="CH67" s="283"/>
      <c r="CI67" s="283"/>
      <c r="CJ67" s="283"/>
      <c r="CK67" s="283"/>
      <c r="CL67" s="283"/>
      <c r="CM67" s="283"/>
      <c r="CN67" s="283"/>
      <c r="CO67" s="283"/>
      <c r="CP67" s="283"/>
      <c r="CQ67" s="283"/>
      <c r="CR67" s="283"/>
      <c r="CS67" s="283"/>
      <c r="CT67" s="283"/>
      <c r="CU67" s="283"/>
      <c r="CV67" s="283"/>
      <c r="CW67" s="283"/>
      <c r="CX67" s="283"/>
      <c r="CY67" s="283"/>
      <c r="CZ67" s="283"/>
      <c r="DA67" s="283"/>
      <c r="DB67" s="283"/>
      <c r="DC67" s="283"/>
      <c r="DD67" s="283"/>
      <c r="DE67" s="283"/>
      <c r="DF67" s="283"/>
      <c r="DG67" s="283"/>
      <c r="DH67" s="283"/>
      <c r="DI67" s="283"/>
      <c r="DJ67" s="283"/>
      <c r="DK67" s="283"/>
      <c r="DL67" s="283"/>
      <c r="DM67" s="283"/>
      <c r="DN67" s="283"/>
      <c r="DO67" s="283"/>
      <c r="DP67" s="283"/>
      <c r="DQ67" s="283"/>
      <c r="DR67" s="283"/>
      <c r="DS67" s="283"/>
      <c r="DT67" s="283"/>
      <c r="DU67" s="283"/>
      <c r="DV67" s="283"/>
      <c r="DW67" s="283"/>
      <c r="DX67" s="283"/>
      <c r="DY67" s="283"/>
      <c r="DZ67" s="283"/>
      <c r="EA67" s="283"/>
      <c r="EB67" s="283"/>
      <c r="EC67" s="283"/>
      <c r="ED67" s="283"/>
      <c r="EE67" s="283"/>
      <c r="EF67" s="283"/>
      <c r="EG67" s="283"/>
      <c r="EH67" s="283"/>
      <c r="EI67" s="283"/>
      <c r="EJ67" s="283"/>
      <c r="EK67" s="283"/>
      <c r="EL67" s="283"/>
      <c r="EM67" s="283"/>
      <c r="EN67" s="283"/>
      <c r="EO67" s="283"/>
      <c r="EP67" s="283"/>
      <c r="EQ67" s="283"/>
      <c r="ER67" s="283"/>
      <c r="ES67" s="283"/>
      <c r="ET67" s="283"/>
      <c r="EU67" s="283"/>
      <c r="EV67" s="283"/>
      <c r="EW67" s="283"/>
      <c r="EX67" s="283"/>
      <c r="EY67" s="283"/>
      <c r="EZ67" s="283"/>
      <c r="FA67" s="283"/>
      <c r="FB67" s="283"/>
      <c r="FC67" s="283"/>
      <c r="FD67" s="283"/>
      <c r="FE67" s="283"/>
      <c r="FF67" s="283"/>
      <c r="FG67" s="283"/>
      <c r="FH67" s="283"/>
      <c r="FI67" s="283"/>
      <c r="FJ67" s="283"/>
      <c r="FK67" s="283"/>
      <c r="FL67" s="283"/>
      <c r="FM67" s="283"/>
      <c r="FN67" s="283"/>
      <c r="FO67" s="283"/>
      <c r="FP67" s="283"/>
      <c r="FQ67" s="283"/>
      <c r="FR67" s="283"/>
      <c r="FS67" s="283"/>
      <c r="FT67" s="283"/>
      <c r="FU67" s="283"/>
      <c r="FV67" s="283"/>
      <c r="FW67" s="283"/>
      <c r="FX67" s="283"/>
      <c r="FY67" s="283"/>
      <c r="FZ67" s="283"/>
      <c r="GA67" s="283"/>
      <c r="GB67" s="283"/>
      <c r="GC67" s="283"/>
      <c r="GD67" s="283"/>
      <c r="GE67" s="283"/>
      <c r="GF67" s="283"/>
      <c r="GG67" s="283"/>
      <c r="GH67" s="283"/>
      <c r="GI67" s="283"/>
      <c r="GJ67" s="283"/>
      <c r="GK67" s="283"/>
      <c r="GL67" s="283"/>
      <c r="GM67" s="283"/>
      <c r="GN67" s="283"/>
      <c r="GO67" s="283"/>
      <c r="GP67" s="283"/>
      <c r="GQ67" s="283"/>
      <c r="GR67" s="283"/>
      <c r="GS67" s="283"/>
      <c r="GT67" s="283"/>
      <c r="GU67" s="283"/>
      <c r="GV67" s="283"/>
      <c r="GW67" s="283"/>
      <c r="GX67" s="283"/>
      <c r="GY67" s="283"/>
      <c r="GZ67" s="283"/>
      <c r="HA67" s="283"/>
      <c r="HB67" s="283"/>
      <c r="HC67" s="283"/>
      <c r="HD67" s="283"/>
      <c r="HE67" s="283"/>
      <c r="HF67" s="283"/>
      <c r="HG67" s="283"/>
      <c r="HH67" s="283"/>
      <c r="HI67" s="283"/>
      <c r="HJ67" s="283"/>
      <c r="HK67" s="283"/>
      <c r="HL67" s="283"/>
      <c r="HM67" s="283"/>
      <c r="HN67" s="283"/>
      <c r="HO67" s="283"/>
      <c r="HP67" s="283"/>
      <c r="HQ67" s="283"/>
      <c r="HR67" s="283"/>
      <c r="HS67" s="283"/>
      <c r="HT67" s="283"/>
      <c r="HU67" s="283"/>
      <c r="HV67" s="283"/>
      <c r="HW67" s="283"/>
      <c r="HX67" s="283"/>
      <c r="HY67" s="283"/>
      <c r="HZ67" s="283"/>
      <c r="IA67" s="283"/>
      <c r="IB67" s="283"/>
      <c r="IC67" s="283"/>
      <c r="ID67" s="283"/>
      <c r="IE67" s="283"/>
      <c r="IF67" s="283"/>
      <c r="IG67" s="283"/>
      <c r="IH67" s="283"/>
      <c r="II67" s="283"/>
      <c r="IJ67" s="283"/>
      <c r="IK67" s="283"/>
      <c r="IL67" s="283"/>
      <c r="IM67" s="283"/>
      <c r="IN67" s="283"/>
      <c r="IO67" s="283"/>
      <c r="IP67" s="283"/>
      <c r="IQ67" s="283"/>
      <c r="IR67" s="283"/>
      <c r="IS67" s="283"/>
      <c r="IT67" s="283"/>
      <c r="IU67" s="283"/>
      <c r="IV67" s="283"/>
    </row>
    <row r="68" spans="1:256" x14ac:dyDescent="0.25">
      <c r="A68" s="279" t="s">
        <v>762</v>
      </c>
      <c r="B68" s="280" t="s">
        <v>439</v>
      </c>
      <c r="C68" s="278" t="s">
        <v>1033</v>
      </c>
      <c r="D68" s="272">
        <v>0</v>
      </c>
      <c r="E68" s="260">
        <f>+INDEX(Sheet1!A:D,MATCH(MapaIII!C68,Sheet1!A:A,0),2)</f>
        <v>1150000</v>
      </c>
      <c r="F68" s="281">
        <f t="shared" ref="F68" si="15">D68+E68</f>
        <v>1150000</v>
      </c>
      <c r="G68" s="282">
        <f t="shared" ref="G68" si="16">F68/$F$9</f>
        <v>2.5235615229168892E-3</v>
      </c>
      <c r="H68" s="107">
        <v>2000000</v>
      </c>
      <c r="I68" s="283"/>
      <c r="J68" s="283"/>
      <c r="K68" s="283"/>
      <c r="L68" s="267" t="e">
        <v>#N/A</v>
      </c>
      <c r="M68" s="283"/>
      <c r="N68" s="268">
        <f t="shared" ref="N68" si="17">+H68-E68</f>
        <v>850000</v>
      </c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3"/>
      <c r="AN68" s="283"/>
      <c r="AO68" s="283"/>
      <c r="AP68" s="283"/>
      <c r="AQ68" s="283"/>
      <c r="AR68" s="283"/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3"/>
      <c r="BD68" s="283"/>
      <c r="BE68" s="283"/>
      <c r="BF68" s="283"/>
      <c r="BG68" s="283"/>
      <c r="BH68" s="283"/>
      <c r="BI68" s="283"/>
      <c r="BJ68" s="283"/>
      <c r="BK68" s="283"/>
      <c r="BL68" s="283"/>
      <c r="BM68" s="283"/>
      <c r="BN68" s="283"/>
      <c r="BO68" s="283"/>
      <c r="BP68" s="283"/>
      <c r="BQ68" s="283"/>
      <c r="BR68" s="283"/>
      <c r="BS68" s="283"/>
      <c r="BT68" s="283"/>
      <c r="BU68" s="283"/>
      <c r="BV68" s="283"/>
      <c r="BW68" s="283"/>
      <c r="BX68" s="283"/>
      <c r="BY68" s="283"/>
      <c r="BZ68" s="283"/>
      <c r="CA68" s="283"/>
      <c r="CB68" s="283"/>
      <c r="CC68" s="283"/>
      <c r="CD68" s="283"/>
      <c r="CE68" s="283"/>
      <c r="CF68" s="283"/>
      <c r="CG68" s="283"/>
      <c r="CH68" s="283"/>
      <c r="CI68" s="283"/>
      <c r="CJ68" s="283"/>
      <c r="CK68" s="283"/>
      <c r="CL68" s="283"/>
      <c r="CM68" s="283"/>
      <c r="CN68" s="283"/>
      <c r="CO68" s="283"/>
      <c r="CP68" s="283"/>
      <c r="CQ68" s="283"/>
      <c r="CR68" s="283"/>
      <c r="CS68" s="283"/>
      <c r="CT68" s="283"/>
      <c r="CU68" s="283"/>
      <c r="CV68" s="283"/>
      <c r="CW68" s="283"/>
      <c r="CX68" s="283"/>
      <c r="CY68" s="283"/>
      <c r="CZ68" s="283"/>
      <c r="DA68" s="283"/>
      <c r="DB68" s="283"/>
      <c r="DC68" s="283"/>
      <c r="DD68" s="283"/>
      <c r="DE68" s="283"/>
      <c r="DF68" s="283"/>
      <c r="DG68" s="283"/>
      <c r="DH68" s="283"/>
      <c r="DI68" s="283"/>
      <c r="DJ68" s="283"/>
      <c r="DK68" s="283"/>
      <c r="DL68" s="283"/>
      <c r="DM68" s="283"/>
      <c r="DN68" s="283"/>
      <c r="DO68" s="283"/>
      <c r="DP68" s="283"/>
      <c r="DQ68" s="283"/>
      <c r="DR68" s="283"/>
      <c r="DS68" s="283"/>
      <c r="DT68" s="283"/>
      <c r="DU68" s="283"/>
      <c r="DV68" s="283"/>
      <c r="DW68" s="283"/>
      <c r="DX68" s="283"/>
      <c r="DY68" s="283"/>
      <c r="DZ68" s="283"/>
      <c r="EA68" s="283"/>
      <c r="EB68" s="283"/>
      <c r="EC68" s="283"/>
      <c r="ED68" s="283"/>
      <c r="EE68" s="283"/>
      <c r="EF68" s="283"/>
      <c r="EG68" s="283"/>
      <c r="EH68" s="283"/>
      <c r="EI68" s="283"/>
      <c r="EJ68" s="283"/>
      <c r="EK68" s="283"/>
      <c r="EL68" s="283"/>
      <c r="EM68" s="283"/>
      <c r="EN68" s="283"/>
      <c r="EO68" s="283"/>
      <c r="EP68" s="283"/>
      <c r="EQ68" s="283"/>
      <c r="ER68" s="283"/>
      <c r="ES68" s="283"/>
      <c r="ET68" s="283"/>
      <c r="EU68" s="283"/>
      <c r="EV68" s="283"/>
      <c r="EW68" s="283"/>
      <c r="EX68" s="283"/>
      <c r="EY68" s="283"/>
      <c r="EZ68" s="283"/>
      <c r="FA68" s="283"/>
      <c r="FB68" s="283"/>
      <c r="FC68" s="283"/>
      <c r="FD68" s="283"/>
      <c r="FE68" s="283"/>
      <c r="FF68" s="283"/>
      <c r="FG68" s="283"/>
      <c r="FH68" s="283"/>
      <c r="FI68" s="283"/>
      <c r="FJ68" s="283"/>
      <c r="FK68" s="283"/>
      <c r="FL68" s="283"/>
      <c r="FM68" s="283"/>
      <c r="FN68" s="283"/>
      <c r="FO68" s="283"/>
      <c r="FP68" s="283"/>
      <c r="FQ68" s="283"/>
      <c r="FR68" s="283"/>
      <c r="FS68" s="283"/>
      <c r="FT68" s="283"/>
      <c r="FU68" s="283"/>
      <c r="FV68" s="283"/>
      <c r="FW68" s="283"/>
      <c r="FX68" s="283"/>
      <c r="FY68" s="283"/>
      <c r="FZ68" s="283"/>
      <c r="GA68" s="283"/>
      <c r="GB68" s="283"/>
      <c r="GC68" s="283"/>
      <c r="GD68" s="283"/>
      <c r="GE68" s="283"/>
      <c r="GF68" s="283"/>
      <c r="GG68" s="283"/>
      <c r="GH68" s="283"/>
      <c r="GI68" s="283"/>
      <c r="GJ68" s="283"/>
      <c r="GK68" s="283"/>
      <c r="GL68" s="283"/>
      <c r="GM68" s="283"/>
      <c r="GN68" s="283"/>
      <c r="GO68" s="283"/>
      <c r="GP68" s="283"/>
      <c r="GQ68" s="283"/>
      <c r="GR68" s="283"/>
      <c r="GS68" s="283"/>
      <c r="GT68" s="283"/>
      <c r="GU68" s="283"/>
      <c r="GV68" s="283"/>
      <c r="GW68" s="283"/>
      <c r="GX68" s="283"/>
      <c r="GY68" s="283"/>
      <c r="GZ68" s="283"/>
      <c r="HA68" s="283"/>
      <c r="HB68" s="283"/>
      <c r="HC68" s="283"/>
      <c r="HD68" s="283"/>
      <c r="HE68" s="283"/>
      <c r="HF68" s="283"/>
      <c r="HG68" s="283"/>
      <c r="HH68" s="283"/>
      <c r="HI68" s="283"/>
      <c r="HJ68" s="283"/>
      <c r="HK68" s="283"/>
      <c r="HL68" s="283"/>
      <c r="HM68" s="283"/>
      <c r="HN68" s="283"/>
      <c r="HO68" s="283"/>
      <c r="HP68" s="283"/>
      <c r="HQ68" s="283"/>
      <c r="HR68" s="283"/>
      <c r="HS68" s="283"/>
      <c r="HT68" s="283"/>
      <c r="HU68" s="283"/>
      <c r="HV68" s="283"/>
      <c r="HW68" s="283"/>
      <c r="HX68" s="283"/>
      <c r="HY68" s="283"/>
      <c r="HZ68" s="283"/>
      <c r="IA68" s="283"/>
      <c r="IB68" s="283"/>
      <c r="IC68" s="283"/>
      <c r="ID68" s="283"/>
      <c r="IE68" s="283"/>
      <c r="IF68" s="283"/>
      <c r="IG68" s="283"/>
      <c r="IH68" s="283"/>
      <c r="II68" s="283"/>
      <c r="IJ68" s="283"/>
      <c r="IK68" s="283"/>
      <c r="IL68" s="283"/>
      <c r="IM68" s="283"/>
      <c r="IN68" s="283"/>
      <c r="IO68" s="283"/>
      <c r="IP68" s="283"/>
      <c r="IQ68" s="283"/>
      <c r="IR68" s="283"/>
      <c r="IS68" s="283"/>
      <c r="IT68" s="283"/>
      <c r="IU68" s="283"/>
      <c r="IV68" s="283"/>
    </row>
    <row r="69" spans="1:256" ht="25.5" x14ac:dyDescent="0.25">
      <c r="A69" s="279" t="s">
        <v>765</v>
      </c>
      <c r="B69" s="280" t="s">
        <v>487</v>
      </c>
      <c r="C69" s="278" t="s">
        <v>766</v>
      </c>
      <c r="D69" s="272">
        <v>0</v>
      </c>
      <c r="E69" s="260">
        <f>+INDEX(Sheet1!A:D,MATCH(MapaIII!C69,Sheet1!A:A,0),2)</f>
        <v>25300000</v>
      </c>
      <c r="F69" s="281">
        <f t="shared" si="12"/>
        <v>25300000</v>
      </c>
      <c r="G69" s="282">
        <f t="shared" si="0"/>
        <v>5.5518353504171558E-2</v>
      </c>
      <c r="H69" s="107">
        <v>13000000</v>
      </c>
      <c r="I69" s="286"/>
      <c r="J69" s="283"/>
      <c r="K69" s="283"/>
      <c r="L69" s="267">
        <v>67</v>
      </c>
      <c r="M69" s="283"/>
      <c r="N69" s="268">
        <f t="shared" si="2"/>
        <v>-12300000</v>
      </c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83"/>
      <c r="AN69" s="283"/>
      <c r="AO69" s="283"/>
      <c r="AP69" s="283"/>
      <c r="AQ69" s="283"/>
      <c r="AR69" s="283"/>
      <c r="AS69" s="283"/>
      <c r="AT69" s="283"/>
      <c r="AU69" s="283"/>
      <c r="AV69" s="283"/>
      <c r="AW69" s="283"/>
      <c r="AX69" s="283"/>
      <c r="AY69" s="283"/>
      <c r="AZ69" s="283"/>
      <c r="BA69" s="283"/>
      <c r="BB69" s="283"/>
      <c r="BC69" s="283"/>
      <c r="BD69" s="283"/>
      <c r="BE69" s="283"/>
      <c r="BF69" s="283"/>
      <c r="BG69" s="283"/>
      <c r="BH69" s="283"/>
      <c r="BI69" s="283"/>
      <c r="BJ69" s="283"/>
      <c r="BK69" s="283"/>
      <c r="BL69" s="283"/>
      <c r="BM69" s="283"/>
      <c r="BN69" s="283"/>
      <c r="BO69" s="283"/>
      <c r="BP69" s="283"/>
      <c r="BQ69" s="283"/>
      <c r="BR69" s="283"/>
      <c r="BS69" s="283"/>
      <c r="BT69" s="283"/>
      <c r="BU69" s="283"/>
      <c r="BV69" s="283"/>
      <c r="BW69" s="283"/>
      <c r="BX69" s="283"/>
      <c r="BY69" s="283"/>
      <c r="BZ69" s="283"/>
      <c r="CA69" s="283"/>
      <c r="CB69" s="283"/>
      <c r="CC69" s="283"/>
      <c r="CD69" s="283"/>
      <c r="CE69" s="283"/>
      <c r="CF69" s="283"/>
      <c r="CG69" s="283"/>
      <c r="CH69" s="283"/>
      <c r="CI69" s="283"/>
      <c r="CJ69" s="283"/>
      <c r="CK69" s="283"/>
      <c r="CL69" s="283"/>
      <c r="CM69" s="283"/>
      <c r="CN69" s="283"/>
      <c r="CO69" s="283"/>
      <c r="CP69" s="283"/>
      <c r="CQ69" s="283"/>
      <c r="CR69" s="283"/>
      <c r="CS69" s="283"/>
      <c r="CT69" s="283"/>
      <c r="CU69" s="283"/>
      <c r="CV69" s="283"/>
      <c r="CW69" s="283"/>
      <c r="CX69" s="283"/>
      <c r="CY69" s="283"/>
      <c r="CZ69" s="283"/>
      <c r="DA69" s="283"/>
      <c r="DB69" s="283"/>
      <c r="DC69" s="283"/>
      <c r="DD69" s="283"/>
      <c r="DE69" s="283"/>
      <c r="DF69" s="283"/>
      <c r="DG69" s="283"/>
      <c r="DH69" s="283"/>
      <c r="DI69" s="283"/>
      <c r="DJ69" s="283"/>
      <c r="DK69" s="283"/>
      <c r="DL69" s="283"/>
      <c r="DM69" s="283"/>
      <c r="DN69" s="283"/>
      <c r="DO69" s="283"/>
      <c r="DP69" s="283"/>
      <c r="DQ69" s="283"/>
      <c r="DR69" s="283"/>
      <c r="DS69" s="283"/>
      <c r="DT69" s="283"/>
      <c r="DU69" s="283"/>
      <c r="DV69" s="283"/>
      <c r="DW69" s="283"/>
      <c r="DX69" s="283"/>
      <c r="DY69" s="283"/>
      <c r="DZ69" s="283"/>
      <c r="EA69" s="283"/>
      <c r="EB69" s="283"/>
      <c r="EC69" s="283"/>
      <c r="ED69" s="283"/>
      <c r="EE69" s="283"/>
      <c r="EF69" s="283"/>
      <c r="EG69" s="283"/>
      <c r="EH69" s="283"/>
      <c r="EI69" s="283"/>
      <c r="EJ69" s="283"/>
      <c r="EK69" s="283"/>
      <c r="EL69" s="283"/>
      <c r="EM69" s="283"/>
      <c r="EN69" s="283"/>
      <c r="EO69" s="283"/>
      <c r="EP69" s="283"/>
      <c r="EQ69" s="283"/>
      <c r="ER69" s="283"/>
      <c r="ES69" s="283"/>
      <c r="ET69" s="283"/>
      <c r="EU69" s="283"/>
      <c r="EV69" s="283"/>
      <c r="EW69" s="283"/>
      <c r="EX69" s="283"/>
      <c r="EY69" s="283"/>
      <c r="EZ69" s="283"/>
      <c r="FA69" s="283"/>
      <c r="FB69" s="283"/>
      <c r="FC69" s="283"/>
      <c r="FD69" s="283"/>
      <c r="FE69" s="283"/>
      <c r="FF69" s="283"/>
      <c r="FG69" s="283"/>
      <c r="FH69" s="283"/>
      <c r="FI69" s="283"/>
      <c r="FJ69" s="283"/>
      <c r="FK69" s="283"/>
      <c r="FL69" s="283"/>
      <c r="FM69" s="283"/>
      <c r="FN69" s="283"/>
      <c r="FO69" s="283"/>
      <c r="FP69" s="283"/>
      <c r="FQ69" s="283"/>
      <c r="FR69" s="283"/>
      <c r="FS69" s="283"/>
      <c r="FT69" s="283"/>
      <c r="FU69" s="283"/>
      <c r="FV69" s="283"/>
      <c r="FW69" s="283"/>
      <c r="FX69" s="283"/>
      <c r="FY69" s="283"/>
      <c r="FZ69" s="283"/>
      <c r="GA69" s="283"/>
      <c r="GB69" s="283"/>
      <c r="GC69" s="283"/>
      <c r="GD69" s="283"/>
      <c r="GE69" s="283"/>
      <c r="GF69" s="283"/>
      <c r="GG69" s="283"/>
      <c r="GH69" s="283"/>
      <c r="GI69" s="283"/>
      <c r="GJ69" s="283"/>
      <c r="GK69" s="283"/>
      <c r="GL69" s="283"/>
      <c r="GM69" s="283"/>
      <c r="GN69" s="283"/>
      <c r="GO69" s="283"/>
      <c r="GP69" s="283"/>
      <c r="GQ69" s="283"/>
      <c r="GR69" s="283"/>
      <c r="GS69" s="283"/>
      <c r="GT69" s="283"/>
      <c r="GU69" s="283"/>
      <c r="GV69" s="283"/>
      <c r="GW69" s="283"/>
      <c r="GX69" s="283"/>
      <c r="GY69" s="283"/>
      <c r="GZ69" s="283"/>
      <c r="HA69" s="283"/>
      <c r="HB69" s="283"/>
      <c r="HC69" s="283"/>
      <c r="HD69" s="283"/>
      <c r="HE69" s="283"/>
      <c r="HF69" s="283"/>
      <c r="HG69" s="283"/>
      <c r="HH69" s="283"/>
      <c r="HI69" s="283"/>
      <c r="HJ69" s="283"/>
      <c r="HK69" s="283"/>
      <c r="HL69" s="283"/>
      <c r="HM69" s="283"/>
      <c r="HN69" s="283"/>
      <c r="HO69" s="283"/>
      <c r="HP69" s="283"/>
      <c r="HQ69" s="283"/>
      <c r="HR69" s="283"/>
      <c r="HS69" s="283"/>
      <c r="HT69" s="283"/>
      <c r="HU69" s="283"/>
      <c r="HV69" s="283"/>
      <c r="HW69" s="283"/>
      <c r="HX69" s="283"/>
      <c r="HY69" s="283"/>
      <c r="HZ69" s="283"/>
      <c r="IA69" s="283"/>
      <c r="IB69" s="283"/>
      <c r="IC69" s="283"/>
      <c r="ID69" s="283"/>
      <c r="IE69" s="283"/>
      <c r="IF69" s="283"/>
      <c r="IG69" s="283"/>
      <c r="IH69" s="283"/>
      <c r="II69" s="283"/>
      <c r="IJ69" s="283"/>
      <c r="IK69" s="283"/>
      <c r="IL69" s="283"/>
      <c r="IM69" s="283"/>
      <c r="IN69" s="283"/>
      <c r="IO69" s="283"/>
      <c r="IP69" s="283"/>
      <c r="IQ69" s="283"/>
      <c r="IR69" s="283"/>
      <c r="IS69" s="283"/>
      <c r="IT69" s="283"/>
      <c r="IU69" s="283"/>
      <c r="IV69" s="283"/>
    </row>
    <row r="70" spans="1:256" x14ac:dyDescent="0.2">
      <c r="A70" s="241" t="s">
        <v>767</v>
      </c>
      <c r="B70" s="242"/>
      <c r="C70" s="241" t="s">
        <v>768</v>
      </c>
      <c r="D70" s="244">
        <f>+SUM(D71)</f>
        <v>0</v>
      </c>
      <c r="E70" s="244">
        <f>+SUM(E71)</f>
        <v>300000</v>
      </c>
      <c r="F70" s="244">
        <f>D70+E70</f>
        <v>300000</v>
      </c>
      <c r="G70" s="245">
        <f t="shared" si="0"/>
        <v>6.5832039728266672E-4</v>
      </c>
      <c r="H70" s="267">
        <v>2800000</v>
      </c>
      <c r="I70" s="227"/>
      <c r="K70" s="262"/>
      <c r="L70" s="267" t="e">
        <v>#N/A</v>
      </c>
      <c r="M70" s="262"/>
      <c r="N70" s="268">
        <f t="shared" si="2"/>
        <v>2500000</v>
      </c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/>
      <c r="AX70" s="262"/>
      <c r="AY70" s="262"/>
      <c r="AZ70" s="262"/>
      <c r="BA70" s="262"/>
      <c r="BB70" s="262"/>
      <c r="BC70" s="262"/>
      <c r="BD70" s="262"/>
      <c r="BE70" s="262"/>
      <c r="BF70" s="262"/>
      <c r="BG70" s="262"/>
      <c r="BH70" s="262"/>
      <c r="BI70" s="262"/>
      <c r="BJ70" s="262"/>
      <c r="BK70" s="262"/>
      <c r="BL70" s="262"/>
      <c r="BM70" s="262"/>
      <c r="BN70" s="262"/>
      <c r="BO70" s="262"/>
      <c r="BP70" s="262"/>
      <c r="BQ70" s="262"/>
      <c r="BR70" s="262"/>
      <c r="BS70" s="262"/>
      <c r="BT70" s="262"/>
      <c r="BU70" s="262"/>
      <c r="BV70" s="262"/>
      <c r="BW70" s="262"/>
      <c r="BX70" s="262"/>
      <c r="BY70" s="262"/>
      <c r="BZ70" s="262"/>
      <c r="CA70" s="262"/>
      <c r="CB70" s="262"/>
      <c r="CC70" s="262"/>
      <c r="CD70" s="262"/>
      <c r="CE70" s="262"/>
      <c r="CF70" s="262"/>
      <c r="CG70" s="262"/>
      <c r="CH70" s="262"/>
      <c r="CI70" s="262"/>
      <c r="CJ70" s="262"/>
      <c r="CK70" s="262"/>
      <c r="CL70" s="262"/>
      <c r="CM70" s="262"/>
      <c r="CN70" s="262"/>
      <c r="CO70" s="262"/>
      <c r="CP70" s="262"/>
      <c r="CQ70" s="262"/>
      <c r="CR70" s="262"/>
      <c r="CS70" s="262"/>
      <c r="CT70" s="262"/>
      <c r="CU70" s="262"/>
      <c r="CV70" s="262"/>
      <c r="CW70" s="262"/>
      <c r="CX70" s="262"/>
      <c r="CY70" s="262"/>
      <c r="CZ70" s="262"/>
      <c r="DA70" s="262"/>
      <c r="DB70" s="262"/>
      <c r="DC70" s="262"/>
      <c r="DD70" s="262"/>
      <c r="DE70" s="262"/>
      <c r="DF70" s="262"/>
      <c r="DG70" s="262"/>
      <c r="DH70" s="262"/>
      <c r="DI70" s="262"/>
      <c r="DJ70" s="262"/>
      <c r="DK70" s="262"/>
      <c r="DL70" s="262"/>
      <c r="DM70" s="262"/>
      <c r="DN70" s="262"/>
      <c r="DO70" s="262"/>
      <c r="DP70" s="262"/>
      <c r="DQ70" s="262"/>
      <c r="DR70" s="262"/>
      <c r="DS70" s="262"/>
      <c r="DT70" s="262"/>
      <c r="DU70" s="262"/>
      <c r="DV70" s="262"/>
      <c r="DW70" s="262"/>
      <c r="DX70" s="262"/>
      <c r="DY70" s="262"/>
      <c r="DZ70" s="262"/>
      <c r="EA70" s="262"/>
      <c r="EB70" s="262"/>
      <c r="EC70" s="262"/>
      <c r="ED70" s="262"/>
      <c r="EE70" s="262"/>
      <c r="EF70" s="262"/>
      <c r="EG70" s="262"/>
      <c r="EH70" s="262"/>
      <c r="EI70" s="262"/>
      <c r="EJ70" s="262"/>
      <c r="EK70" s="262"/>
      <c r="EL70" s="262"/>
      <c r="EM70" s="262"/>
      <c r="EN70" s="262"/>
      <c r="EO70" s="262"/>
      <c r="EP70" s="262"/>
      <c r="EQ70" s="262"/>
      <c r="ER70" s="262"/>
      <c r="ES70" s="262"/>
      <c r="ET70" s="262"/>
      <c r="EU70" s="262"/>
      <c r="EV70" s="262"/>
      <c r="EW70" s="262"/>
      <c r="EX70" s="262"/>
      <c r="EY70" s="262"/>
      <c r="EZ70" s="262"/>
      <c r="FA70" s="262"/>
      <c r="FB70" s="262"/>
      <c r="FC70" s="262"/>
      <c r="FD70" s="262"/>
      <c r="FE70" s="262"/>
      <c r="FF70" s="262"/>
      <c r="FG70" s="262"/>
      <c r="FH70" s="262"/>
      <c r="FI70" s="262"/>
      <c r="FJ70" s="262"/>
      <c r="FK70" s="262"/>
      <c r="FL70" s="262"/>
      <c r="FM70" s="262"/>
      <c r="FN70" s="262"/>
      <c r="FO70" s="262"/>
      <c r="FP70" s="262"/>
      <c r="FQ70" s="262"/>
      <c r="FR70" s="262"/>
      <c r="FS70" s="262"/>
      <c r="FT70" s="262"/>
      <c r="FU70" s="262"/>
      <c r="FV70" s="262"/>
      <c r="FW70" s="262"/>
      <c r="FX70" s="262"/>
      <c r="FY70" s="262"/>
      <c r="FZ70" s="262"/>
      <c r="GA70" s="262"/>
      <c r="GB70" s="262"/>
      <c r="GC70" s="262"/>
      <c r="GD70" s="262"/>
      <c r="GE70" s="262"/>
      <c r="GF70" s="262"/>
      <c r="GG70" s="262"/>
      <c r="GH70" s="262"/>
      <c r="GI70" s="262"/>
      <c r="GJ70" s="262"/>
      <c r="GK70" s="262"/>
      <c r="GL70" s="262"/>
      <c r="GM70" s="262"/>
      <c r="GN70" s="262"/>
      <c r="GO70" s="262"/>
      <c r="GP70" s="262"/>
      <c r="GQ70" s="262"/>
      <c r="GR70" s="262"/>
      <c r="GS70" s="262"/>
      <c r="GT70" s="262"/>
      <c r="GU70" s="262"/>
      <c r="GV70" s="262"/>
      <c r="GW70" s="262"/>
      <c r="GX70" s="262"/>
      <c r="GY70" s="262"/>
      <c r="GZ70" s="262"/>
      <c r="HA70" s="262"/>
      <c r="HB70" s="262"/>
      <c r="HC70" s="262"/>
      <c r="HD70" s="262"/>
      <c r="HE70" s="262"/>
      <c r="HF70" s="262"/>
      <c r="HG70" s="262"/>
      <c r="HH70" s="262"/>
      <c r="HI70" s="262"/>
      <c r="HJ70" s="262"/>
      <c r="HK70" s="262"/>
      <c r="HL70" s="262"/>
      <c r="HM70" s="262"/>
      <c r="HN70" s="262"/>
      <c r="HO70" s="262"/>
      <c r="HP70" s="262"/>
      <c r="HQ70" s="262"/>
      <c r="HR70" s="262"/>
      <c r="HS70" s="262"/>
      <c r="HT70" s="262"/>
      <c r="HU70" s="262"/>
      <c r="HV70" s="262"/>
      <c r="HW70" s="262"/>
      <c r="HX70" s="262"/>
      <c r="HY70" s="262"/>
      <c r="HZ70" s="262"/>
      <c r="IA70" s="262"/>
      <c r="IB70" s="262"/>
      <c r="IC70" s="262"/>
      <c r="ID70" s="262"/>
      <c r="IE70" s="262"/>
      <c r="IF70" s="262"/>
      <c r="IG70" s="262"/>
      <c r="IH70" s="262"/>
      <c r="II70" s="262"/>
      <c r="IJ70" s="262"/>
      <c r="IK70" s="262"/>
      <c r="IL70" s="262"/>
      <c r="IM70" s="262"/>
      <c r="IN70" s="262"/>
      <c r="IO70" s="262"/>
      <c r="IP70" s="262"/>
      <c r="IQ70" s="262"/>
      <c r="IR70" s="262"/>
      <c r="IS70" s="262"/>
      <c r="IT70" s="262"/>
      <c r="IU70" s="262"/>
      <c r="IV70" s="262"/>
    </row>
    <row r="71" spans="1:256" x14ac:dyDescent="0.25">
      <c r="A71" s="263" t="s">
        <v>769</v>
      </c>
      <c r="B71" s="271" t="s">
        <v>451</v>
      </c>
      <c r="C71" s="278" t="s">
        <v>770</v>
      </c>
      <c r="D71" s="259">
        <v>0</v>
      </c>
      <c r="E71" s="260">
        <f>+INDEX(Sheet1!A:D,MATCH(MapaIII!C71,Sheet1!A:A,0),2)</f>
        <v>300000</v>
      </c>
      <c r="F71" s="260">
        <f t="shared" si="12"/>
        <v>300000</v>
      </c>
      <c r="G71" s="266">
        <f t="shared" si="0"/>
        <v>6.5832039728266672E-4</v>
      </c>
      <c r="H71" s="107">
        <v>300000</v>
      </c>
      <c r="I71" s="267"/>
      <c r="J71" s="267"/>
      <c r="K71" s="270"/>
      <c r="L71" s="267">
        <v>8</v>
      </c>
      <c r="M71" s="270"/>
      <c r="N71" s="268">
        <f t="shared" si="2"/>
        <v>0</v>
      </c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70"/>
      <c r="AH71" s="270"/>
      <c r="AI71" s="270"/>
      <c r="AJ71" s="270"/>
      <c r="AK71" s="270"/>
      <c r="AL71" s="270"/>
      <c r="AM71" s="270"/>
      <c r="AN71" s="270"/>
      <c r="AO71" s="270"/>
      <c r="AP71" s="270"/>
      <c r="AQ71" s="270"/>
      <c r="AR71" s="270"/>
      <c r="AS71" s="270"/>
      <c r="AT71" s="270"/>
      <c r="AU71" s="270"/>
      <c r="AV71" s="270"/>
      <c r="AW71" s="270"/>
      <c r="AX71" s="270"/>
      <c r="AY71" s="270"/>
      <c r="AZ71" s="270"/>
      <c r="BA71" s="270"/>
      <c r="BB71" s="270"/>
      <c r="BC71" s="270"/>
      <c r="BD71" s="270"/>
      <c r="BE71" s="270"/>
      <c r="BF71" s="270"/>
      <c r="BG71" s="270"/>
      <c r="BH71" s="270"/>
      <c r="BI71" s="270"/>
      <c r="BJ71" s="270"/>
      <c r="BK71" s="270"/>
      <c r="BL71" s="270"/>
      <c r="BM71" s="270"/>
      <c r="BN71" s="270"/>
      <c r="BO71" s="270"/>
      <c r="BP71" s="270"/>
      <c r="BQ71" s="270"/>
      <c r="BR71" s="270"/>
      <c r="BS71" s="270"/>
      <c r="BT71" s="270"/>
      <c r="BU71" s="270"/>
      <c r="BV71" s="270"/>
      <c r="BW71" s="270"/>
      <c r="BX71" s="270"/>
      <c r="BY71" s="270"/>
      <c r="BZ71" s="270"/>
      <c r="CA71" s="270"/>
      <c r="CB71" s="270"/>
      <c r="CC71" s="270"/>
      <c r="CD71" s="270"/>
      <c r="CE71" s="270"/>
      <c r="CF71" s="270"/>
      <c r="CG71" s="270"/>
      <c r="CH71" s="270"/>
      <c r="CI71" s="270"/>
      <c r="CJ71" s="270"/>
      <c r="CK71" s="270"/>
      <c r="CL71" s="270"/>
      <c r="CM71" s="270"/>
      <c r="CN71" s="270"/>
      <c r="CO71" s="270"/>
      <c r="CP71" s="270"/>
      <c r="CQ71" s="270"/>
      <c r="CR71" s="270"/>
      <c r="CS71" s="270"/>
      <c r="CT71" s="270"/>
      <c r="CU71" s="270"/>
      <c r="CV71" s="270"/>
      <c r="CW71" s="270"/>
      <c r="CX71" s="270"/>
      <c r="CY71" s="270"/>
      <c r="CZ71" s="270"/>
      <c r="DA71" s="270"/>
      <c r="DB71" s="270"/>
      <c r="DC71" s="270"/>
      <c r="DD71" s="270"/>
      <c r="DE71" s="270"/>
      <c r="DF71" s="270"/>
      <c r="DG71" s="270"/>
      <c r="DH71" s="270"/>
      <c r="DI71" s="270"/>
      <c r="DJ71" s="270"/>
      <c r="DK71" s="270"/>
      <c r="DL71" s="270"/>
      <c r="DM71" s="270"/>
      <c r="DN71" s="270"/>
      <c r="DO71" s="270"/>
      <c r="DP71" s="270"/>
      <c r="DQ71" s="270"/>
      <c r="DR71" s="270"/>
      <c r="DS71" s="270"/>
      <c r="DT71" s="270"/>
      <c r="DU71" s="270"/>
      <c r="DV71" s="270"/>
      <c r="DW71" s="270"/>
      <c r="DX71" s="270"/>
      <c r="DY71" s="270"/>
      <c r="DZ71" s="270"/>
      <c r="EA71" s="270"/>
      <c r="EB71" s="270"/>
      <c r="EC71" s="270"/>
      <c r="ED71" s="270"/>
      <c r="EE71" s="270"/>
      <c r="EF71" s="270"/>
      <c r="EG71" s="270"/>
      <c r="EH71" s="270"/>
      <c r="EI71" s="270"/>
      <c r="EJ71" s="270"/>
      <c r="EK71" s="270"/>
      <c r="EL71" s="270"/>
      <c r="EM71" s="270"/>
      <c r="EN71" s="270"/>
      <c r="EO71" s="270"/>
      <c r="EP71" s="270"/>
      <c r="EQ71" s="270"/>
      <c r="ER71" s="270"/>
      <c r="ES71" s="270"/>
      <c r="ET71" s="270"/>
      <c r="EU71" s="270"/>
      <c r="EV71" s="270"/>
      <c r="EW71" s="270"/>
      <c r="EX71" s="270"/>
      <c r="EY71" s="270"/>
      <c r="EZ71" s="270"/>
      <c r="FA71" s="270"/>
      <c r="FB71" s="270"/>
      <c r="FC71" s="270"/>
      <c r="FD71" s="270"/>
      <c r="FE71" s="270"/>
      <c r="FF71" s="270"/>
      <c r="FG71" s="270"/>
      <c r="FH71" s="270"/>
      <c r="FI71" s="270"/>
      <c r="FJ71" s="270"/>
      <c r="FK71" s="270"/>
      <c r="FL71" s="270"/>
      <c r="FM71" s="270"/>
      <c r="FN71" s="270"/>
      <c r="FO71" s="270"/>
      <c r="FP71" s="270"/>
      <c r="FQ71" s="270"/>
      <c r="FR71" s="270"/>
      <c r="FS71" s="270"/>
      <c r="FT71" s="270"/>
      <c r="FU71" s="270"/>
      <c r="FV71" s="270"/>
      <c r="FW71" s="270"/>
      <c r="FX71" s="270"/>
      <c r="FY71" s="270"/>
      <c r="FZ71" s="270"/>
      <c r="GA71" s="270"/>
      <c r="GB71" s="270"/>
      <c r="GC71" s="270"/>
      <c r="GD71" s="270"/>
      <c r="GE71" s="270"/>
      <c r="GF71" s="270"/>
      <c r="GG71" s="270"/>
      <c r="GH71" s="270"/>
      <c r="GI71" s="270"/>
      <c r="GJ71" s="270"/>
      <c r="GK71" s="270"/>
      <c r="GL71" s="270"/>
      <c r="GM71" s="270"/>
      <c r="GN71" s="270"/>
      <c r="GO71" s="270"/>
      <c r="GP71" s="270"/>
      <c r="GQ71" s="270"/>
      <c r="GR71" s="270"/>
      <c r="GS71" s="270"/>
      <c r="GT71" s="270"/>
      <c r="GU71" s="270"/>
      <c r="GV71" s="270"/>
      <c r="GW71" s="270"/>
      <c r="GX71" s="270"/>
      <c r="GY71" s="270"/>
      <c r="GZ71" s="270"/>
      <c r="HA71" s="270"/>
      <c r="HB71" s="270"/>
      <c r="HC71" s="270"/>
      <c r="HD71" s="270"/>
      <c r="HE71" s="270"/>
      <c r="HF71" s="270"/>
      <c r="HG71" s="270"/>
      <c r="HH71" s="270"/>
      <c r="HI71" s="270"/>
      <c r="HJ71" s="270"/>
      <c r="HK71" s="270"/>
      <c r="HL71" s="270"/>
      <c r="HM71" s="270"/>
      <c r="HN71" s="270"/>
      <c r="HO71" s="270"/>
      <c r="HP71" s="270"/>
      <c r="HQ71" s="270"/>
      <c r="HR71" s="270"/>
      <c r="HS71" s="270"/>
      <c r="HT71" s="270"/>
      <c r="HU71" s="270"/>
      <c r="HV71" s="270"/>
      <c r="HW71" s="270"/>
      <c r="HX71" s="270"/>
      <c r="HY71" s="270"/>
      <c r="HZ71" s="270"/>
      <c r="IA71" s="270"/>
      <c r="IB71" s="270"/>
      <c r="IC71" s="270"/>
      <c r="ID71" s="270"/>
      <c r="IE71" s="270"/>
      <c r="IF71" s="270"/>
      <c r="IG71" s="270"/>
      <c r="IH71" s="270"/>
      <c r="II71" s="270"/>
      <c r="IJ71" s="270"/>
      <c r="IK71" s="270"/>
      <c r="IL71" s="270"/>
      <c r="IM71" s="270"/>
      <c r="IN71" s="270"/>
      <c r="IO71" s="270"/>
      <c r="IP71" s="270"/>
      <c r="IQ71" s="270"/>
      <c r="IR71" s="270"/>
      <c r="IS71" s="270"/>
      <c r="IT71" s="270"/>
      <c r="IU71" s="270"/>
      <c r="IV71" s="270"/>
    </row>
    <row r="72" spans="1:256" x14ac:dyDescent="0.2">
      <c r="A72" s="241" t="s">
        <v>715</v>
      </c>
      <c r="B72" s="242"/>
      <c r="C72" s="241" t="s">
        <v>771</v>
      </c>
      <c r="D72" s="244">
        <f>+SUM(D73)</f>
        <v>0</v>
      </c>
      <c r="E72" s="244">
        <f>+SUM(E73)</f>
        <v>4000000</v>
      </c>
      <c r="F72" s="244">
        <f>D72+E72</f>
        <v>4000000</v>
      </c>
      <c r="G72" s="245">
        <f t="shared" si="0"/>
        <v>8.7776052971022221E-3</v>
      </c>
      <c r="H72" s="267">
        <v>0</v>
      </c>
      <c r="K72" s="262"/>
      <c r="L72" s="267" t="e">
        <v>#N/A</v>
      </c>
      <c r="M72" s="262"/>
      <c r="N72" s="268">
        <f t="shared" si="2"/>
        <v>-4000000</v>
      </c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2"/>
      <c r="AV72" s="262"/>
      <c r="AW72" s="262"/>
      <c r="AX72" s="262"/>
      <c r="AY72" s="262"/>
      <c r="AZ72" s="262"/>
      <c r="BA72" s="262"/>
      <c r="BB72" s="262"/>
      <c r="BC72" s="262"/>
      <c r="BD72" s="262"/>
      <c r="BE72" s="262"/>
      <c r="BF72" s="262"/>
      <c r="BG72" s="262"/>
      <c r="BH72" s="262"/>
      <c r="BI72" s="262"/>
      <c r="BJ72" s="262"/>
      <c r="BK72" s="262"/>
      <c r="BL72" s="262"/>
      <c r="BM72" s="262"/>
      <c r="BN72" s="262"/>
      <c r="BO72" s="262"/>
      <c r="BP72" s="262"/>
      <c r="BQ72" s="262"/>
      <c r="BR72" s="262"/>
      <c r="BS72" s="262"/>
      <c r="BT72" s="262"/>
      <c r="BU72" s="262"/>
      <c r="BV72" s="262"/>
      <c r="BW72" s="262"/>
      <c r="BX72" s="262"/>
      <c r="BY72" s="262"/>
      <c r="BZ72" s="262"/>
      <c r="CA72" s="262"/>
      <c r="CB72" s="262"/>
      <c r="CC72" s="262"/>
      <c r="CD72" s="262"/>
      <c r="CE72" s="262"/>
      <c r="CF72" s="262"/>
      <c r="CG72" s="262"/>
      <c r="CH72" s="262"/>
      <c r="CI72" s="262"/>
      <c r="CJ72" s="262"/>
      <c r="CK72" s="262"/>
      <c r="CL72" s="262"/>
      <c r="CM72" s="262"/>
      <c r="CN72" s="262"/>
      <c r="CO72" s="262"/>
      <c r="CP72" s="262"/>
      <c r="CQ72" s="262"/>
      <c r="CR72" s="262"/>
      <c r="CS72" s="262"/>
      <c r="CT72" s="262"/>
      <c r="CU72" s="262"/>
      <c r="CV72" s="262"/>
      <c r="CW72" s="262"/>
      <c r="CX72" s="262"/>
      <c r="CY72" s="262"/>
      <c r="CZ72" s="262"/>
      <c r="DA72" s="262"/>
      <c r="DB72" s="262"/>
      <c r="DC72" s="262"/>
      <c r="DD72" s="262"/>
      <c r="DE72" s="262"/>
      <c r="DF72" s="262"/>
      <c r="DG72" s="262"/>
      <c r="DH72" s="262"/>
      <c r="DI72" s="262"/>
      <c r="DJ72" s="262"/>
      <c r="DK72" s="262"/>
      <c r="DL72" s="262"/>
      <c r="DM72" s="262"/>
      <c r="DN72" s="262"/>
      <c r="DO72" s="262"/>
      <c r="DP72" s="262"/>
      <c r="DQ72" s="262"/>
      <c r="DR72" s="262"/>
      <c r="DS72" s="262"/>
      <c r="DT72" s="262"/>
      <c r="DU72" s="262"/>
      <c r="DV72" s="262"/>
      <c r="DW72" s="262"/>
      <c r="DX72" s="262"/>
      <c r="DY72" s="262"/>
      <c r="DZ72" s="262"/>
      <c r="EA72" s="262"/>
      <c r="EB72" s="262"/>
      <c r="EC72" s="262"/>
      <c r="ED72" s="262"/>
      <c r="EE72" s="262"/>
      <c r="EF72" s="262"/>
      <c r="EG72" s="262"/>
      <c r="EH72" s="262"/>
      <c r="EI72" s="262"/>
      <c r="EJ72" s="262"/>
      <c r="EK72" s="262"/>
      <c r="EL72" s="262"/>
      <c r="EM72" s="262"/>
      <c r="EN72" s="262"/>
      <c r="EO72" s="262"/>
      <c r="EP72" s="262"/>
      <c r="EQ72" s="262"/>
      <c r="ER72" s="262"/>
      <c r="ES72" s="262"/>
      <c r="ET72" s="262"/>
      <c r="EU72" s="262"/>
      <c r="EV72" s="262"/>
      <c r="EW72" s="262"/>
      <c r="EX72" s="262"/>
      <c r="EY72" s="262"/>
      <c r="EZ72" s="262"/>
      <c r="FA72" s="262"/>
      <c r="FB72" s="262"/>
      <c r="FC72" s="262"/>
      <c r="FD72" s="262"/>
      <c r="FE72" s="262"/>
      <c r="FF72" s="262"/>
      <c r="FG72" s="262"/>
      <c r="FH72" s="262"/>
      <c r="FI72" s="262"/>
      <c r="FJ72" s="262"/>
      <c r="FK72" s="262"/>
      <c r="FL72" s="262"/>
      <c r="FM72" s="262"/>
      <c r="FN72" s="262"/>
      <c r="FO72" s="262"/>
      <c r="FP72" s="262"/>
      <c r="FQ72" s="262"/>
      <c r="FR72" s="262"/>
      <c r="FS72" s="262"/>
      <c r="FT72" s="262"/>
      <c r="FU72" s="262"/>
      <c r="FV72" s="262"/>
      <c r="FW72" s="262"/>
      <c r="FX72" s="262"/>
      <c r="FY72" s="262"/>
      <c r="FZ72" s="262"/>
      <c r="GA72" s="262"/>
      <c r="GB72" s="262"/>
      <c r="GC72" s="262"/>
      <c r="GD72" s="262"/>
      <c r="GE72" s="262"/>
      <c r="GF72" s="262"/>
      <c r="GG72" s="262"/>
      <c r="GH72" s="262"/>
      <c r="GI72" s="262"/>
      <c r="GJ72" s="262"/>
      <c r="GK72" s="262"/>
      <c r="GL72" s="262"/>
      <c r="GM72" s="262"/>
      <c r="GN72" s="262"/>
      <c r="GO72" s="262"/>
      <c r="GP72" s="262"/>
      <c r="GQ72" s="262"/>
      <c r="GR72" s="262"/>
      <c r="GS72" s="262"/>
      <c r="GT72" s="262"/>
      <c r="GU72" s="262"/>
      <c r="GV72" s="262"/>
      <c r="GW72" s="262"/>
      <c r="GX72" s="262"/>
      <c r="GY72" s="262"/>
      <c r="GZ72" s="262"/>
      <c r="HA72" s="262"/>
      <c r="HB72" s="262"/>
      <c r="HC72" s="262"/>
      <c r="HD72" s="262"/>
      <c r="HE72" s="262"/>
      <c r="HF72" s="262"/>
      <c r="HG72" s="262"/>
      <c r="HH72" s="262"/>
      <c r="HI72" s="262"/>
      <c r="HJ72" s="262"/>
      <c r="HK72" s="262"/>
      <c r="HL72" s="262"/>
      <c r="HM72" s="262"/>
      <c r="HN72" s="262"/>
      <c r="HO72" s="262"/>
      <c r="HP72" s="262"/>
      <c r="HQ72" s="262"/>
      <c r="HR72" s="262"/>
      <c r="HS72" s="262"/>
      <c r="HT72" s="262"/>
      <c r="HU72" s="262"/>
      <c r="HV72" s="262"/>
      <c r="HW72" s="262"/>
      <c r="HX72" s="262"/>
      <c r="HY72" s="262"/>
      <c r="HZ72" s="262"/>
      <c r="IA72" s="262"/>
      <c r="IB72" s="262"/>
      <c r="IC72" s="262"/>
      <c r="ID72" s="262"/>
      <c r="IE72" s="262"/>
      <c r="IF72" s="262"/>
      <c r="IG72" s="262"/>
      <c r="IH72" s="262"/>
      <c r="II72" s="262"/>
      <c r="IJ72" s="262"/>
      <c r="IK72" s="262"/>
      <c r="IL72" s="262"/>
      <c r="IM72" s="262"/>
      <c r="IN72" s="262"/>
      <c r="IO72" s="262"/>
      <c r="IP72" s="262"/>
      <c r="IQ72" s="262"/>
      <c r="IR72" s="262"/>
      <c r="IS72" s="262"/>
      <c r="IT72" s="262"/>
      <c r="IU72" s="262"/>
      <c r="IV72" s="262"/>
    </row>
    <row r="73" spans="1:256" x14ac:dyDescent="0.25">
      <c r="A73" s="263" t="s">
        <v>772</v>
      </c>
      <c r="B73" s="271" t="s">
        <v>451</v>
      </c>
      <c r="C73" s="278" t="s">
        <v>773</v>
      </c>
      <c r="D73" s="259">
        <v>0</v>
      </c>
      <c r="E73" s="260">
        <f>+INDEX(Sheet1!A:D,MATCH(MapaIII!C73,Sheet1!A:A,0),2)</f>
        <v>4000000</v>
      </c>
      <c r="F73" s="260">
        <f>E73+D73</f>
        <v>4000000</v>
      </c>
      <c r="G73" s="266">
        <f t="shared" si="0"/>
        <v>8.7776052971022221E-3</v>
      </c>
      <c r="H73" s="107">
        <v>6000000</v>
      </c>
      <c r="K73" s="270"/>
      <c r="L73" s="267">
        <v>19</v>
      </c>
      <c r="M73" s="270"/>
      <c r="N73" s="268">
        <f t="shared" ref="N73:N84" si="18">+H73-E73</f>
        <v>2000000</v>
      </c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270"/>
      <c r="AI73" s="270"/>
      <c r="AJ73" s="270"/>
      <c r="AK73" s="270"/>
      <c r="AL73" s="270"/>
      <c r="AM73" s="270"/>
      <c r="AN73" s="270"/>
      <c r="AO73" s="270"/>
      <c r="AP73" s="270"/>
      <c r="AQ73" s="270"/>
      <c r="AR73" s="270"/>
      <c r="AS73" s="270"/>
      <c r="AT73" s="270"/>
      <c r="AU73" s="270"/>
      <c r="AV73" s="270"/>
      <c r="AW73" s="270"/>
      <c r="AX73" s="270"/>
      <c r="AY73" s="270"/>
      <c r="AZ73" s="270"/>
      <c r="BA73" s="270"/>
      <c r="BB73" s="270"/>
      <c r="BC73" s="270"/>
      <c r="BD73" s="270"/>
      <c r="BE73" s="270"/>
      <c r="BF73" s="270"/>
      <c r="BG73" s="270"/>
      <c r="BH73" s="270"/>
      <c r="BI73" s="270"/>
      <c r="BJ73" s="270"/>
      <c r="BK73" s="270"/>
      <c r="BL73" s="270"/>
      <c r="BM73" s="270"/>
      <c r="BN73" s="270"/>
      <c r="BO73" s="270"/>
      <c r="BP73" s="270"/>
      <c r="BQ73" s="270"/>
      <c r="BR73" s="270"/>
      <c r="BS73" s="270"/>
      <c r="BT73" s="270"/>
      <c r="BU73" s="270"/>
      <c r="BV73" s="270"/>
      <c r="BW73" s="270"/>
      <c r="BX73" s="270"/>
      <c r="BY73" s="270"/>
      <c r="BZ73" s="270"/>
      <c r="CA73" s="270"/>
      <c r="CB73" s="270"/>
      <c r="CC73" s="270"/>
      <c r="CD73" s="270"/>
      <c r="CE73" s="270"/>
      <c r="CF73" s="270"/>
      <c r="CG73" s="270"/>
      <c r="CH73" s="270"/>
      <c r="CI73" s="270"/>
      <c r="CJ73" s="270"/>
      <c r="CK73" s="270"/>
      <c r="CL73" s="270"/>
      <c r="CM73" s="270"/>
      <c r="CN73" s="270"/>
      <c r="CO73" s="270"/>
      <c r="CP73" s="270"/>
      <c r="CQ73" s="270"/>
      <c r="CR73" s="270"/>
      <c r="CS73" s="270"/>
      <c r="CT73" s="270"/>
      <c r="CU73" s="270"/>
      <c r="CV73" s="270"/>
      <c r="CW73" s="270"/>
      <c r="CX73" s="270"/>
      <c r="CY73" s="270"/>
      <c r="CZ73" s="270"/>
      <c r="DA73" s="270"/>
      <c r="DB73" s="270"/>
      <c r="DC73" s="270"/>
      <c r="DD73" s="270"/>
      <c r="DE73" s="270"/>
      <c r="DF73" s="270"/>
      <c r="DG73" s="270"/>
      <c r="DH73" s="270"/>
      <c r="DI73" s="270"/>
      <c r="DJ73" s="270"/>
      <c r="DK73" s="270"/>
      <c r="DL73" s="270"/>
      <c r="DM73" s="270"/>
      <c r="DN73" s="270"/>
      <c r="DO73" s="270"/>
      <c r="DP73" s="270"/>
      <c r="DQ73" s="270"/>
      <c r="DR73" s="270"/>
      <c r="DS73" s="270"/>
      <c r="DT73" s="270"/>
      <c r="DU73" s="270"/>
      <c r="DV73" s="270"/>
      <c r="DW73" s="270"/>
      <c r="DX73" s="270"/>
      <c r="DY73" s="270"/>
      <c r="DZ73" s="270"/>
      <c r="EA73" s="270"/>
      <c r="EB73" s="270"/>
      <c r="EC73" s="270"/>
      <c r="ED73" s="270"/>
      <c r="EE73" s="270"/>
      <c r="EF73" s="270"/>
      <c r="EG73" s="270"/>
      <c r="EH73" s="270"/>
      <c r="EI73" s="270"/>
      <c r="EJ73" s="270"/>
      <c r="EK73" s="270"/>
      <c r="EL73" s="270"/>
      <c r="EM73" s="270"/>
      <c r="EN73" s="270"/>
      <c r="EO73" s="270"/>
      <c r="EP73" s="270"/>
      <c r="EQ73" s="270"/>
      <c r="ER73" s="270"/>
      <c r="ES73" s="270"/>
      <c r="ET73" s="270"/>
      <c r="EU73" s="270"/>
      <c r="EV73" s="270"/>
      <c r="EW73" s="270"/>
      <c r="EX73" s="270"/>
      <c r="EY73" s="270"/>
      <c r="EZ73" s="270"/>
      <c r="FA73" s="270"/>
      <c r="FB73" s="270"/>
      <c r="FC73" s="270"/>
      <c r="FD73" s="270"/>
      <c r="FE73" s="270"/>
      <c r="FF73" s="270"/>
      <c r="FG73" s="270"/>
      <c r="FH73" s="270"/>
      <c r="FI73" s="270"/>
      <c r="FJ73" s="270"/>
      <c r="FK73" s="270"/>
      <c r="FL73" s="270"/>
      <c r="FM73" s="270"/>
      <c r="FN73" s="270"/>
      <c r="FO73" s="270"/>
      <c r="FP73" s="270"/>
      <c r="FQ73" s="270"/>
      <c r="FR73" s="270"/>
      <c r="FS73" s="270"/>
      <c r="FT73" s="270"/>
      <c r="FU73" s="270"/>
      <c r="FV73" s="270"/>
      <c r="FW73" s="270"/>
      <c r="FX73" s="270"/>
      <c r="FY73" s="270"/>
      <c r="FZ73" s="270"/>
      <c r="GA73" s="270"/>
      <c r="GB73" s="270"/>
      <c r="GC73" s="270"/>
      <c r="GD73" s="270"/>
      <c r="GE73" s="270"/>
      <c r="GF73" s="270"/>
      <c r="GG73" s="270"/>
      <c r="GH73" s="270"/>
      <c r="GI73" s="270"/>
      <c r="GJ73" s="270"/>
      <c r="GK73" s="270"/>
      <c r="GL73" s="270"/>
      <c r="GM73" s="270"/>
      <c r="GN73" s="270"/>
      <c r="GO73" s="270"/>
      <c r="GP73" s="270"/>
      <c r="GQ73" s="270"/>
      <c r="GR73" s="270"/>
      <c r="GS73" s="270"/>
      <c r="GT73" s="270"/>
      <c r="GU73" s="270"/>
      <c r="GV73" s="270"/>
      <c r="GW73" s="270"/>
      <c r="GX73" s="270"/>
      <c r="GY73" s="270"/>
      <c r="GZ73" s="270"/>
      <c r="HA73" s="270"/>
      <c r="HB73" s="270"/>
      <c r="HC73" s="270"/>
      <c r="HD73" s="270"/>
      <c r="HE73" s="270"/>
      <c r="HF73" s="270"/>
      <c r="HG73" s="270"/>
      <c r="HH73" s="270"/>
      <c r="HI73" s="270"/>
      <c r="HJ73" s="270"/>
      <c r="HK73" s="270"/>
      <c r="HL73" s="270"/>
      <c r="HM73" s="270"/>
      <c r="HN73" s="270"/>
      <c r="HO73" s="270"/>
      <c r="HP73" s="270"/>
      <c r="HQ73" s="270"/>
      <c r="HR73" s="270"/>
      <c r="HS73" s="270"/>
      <c r="HT73" s="270"/>
      <c r="HU73" s="270"/>
      <c r="HV73" s="270"/>
      <c r="HW73" s="270"/>
      <c r="HX73" s="270"/>
      <c r="HY73" s="270"/>
      <c r="HZ73" s="270"/>
      <c r="IA73" s="270"/>
      <c r="IB73" s="270"/>
      <c r="IC73" s="270"/>
      <c r="ID73" s="270"/>
      <c r="IE73" s="270"/>
      <c r="IF73" s="270"/>
      <c r="IG73" s="270"/>
      <c r="IH73" s="270"/>
      <c r="II73" s="270"/>
      <c r="IJ73" s="270"/>
      <c r="IK73" s="270"/>
      <c r="IL73" s="270"/>
      <c r="IM73" s="270"/>
      <c r="IN73" s="270"/>
      <c r="IO73" s="270"/>
      <c r="IP73" s="270"/>
      <c r="IQ73" s="270"/>
      <c r="IR73" s="270"/>
      <c r="IS73" s="270"/>
      <c r="IT73" s="270"/>
      <c r="IU73" s="270"/>
      <c r="IV73" s="270"/>
    </row>
    <row r="74" spans="1:256" x14ac:dyDescent="0.2">
      <c r="A74" s="241" t="s">
        <v>774</v>
      </c>
      <c r="B74" s="242"/>
      <c r="C74" s="241" t="s">
        <v>775</v>
      </c>
      <c r="D74" s="261">
        <f>SUM(D75:D78)</f>
        <v>0</v>
      </c>
      <c r="E74" s="244">
        <f>+SUM(E75:E78)</f>
        <v>4900000</v>
      </c>
      <c r="F74" s="244">
        <f>D74+E74</f>
        <v>4900000</v>
      </c>
      <c r="G74" s="245">
        <f t="shared" si="0"/>
        <v>1.0752566488950222E-2</v>
      </c>
      <c r="H74" s="267">
        <v>5700000</v>
      </c>
      <c r="K74" s="262"/>
      <c r="L74" s="267" t="e">
        <v>#N/A</v>
      </c>
      <c r="M74" s="262"/>
      <c r="N74" s="268">
        <f t="shared" si="18"/>
        <v>800000</v>
      </c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  <c r="AY74" s="262"/>
      <c r="AZ74" s="262"/>
      <c r="BA74" s="262"/>
      <c r="BB74" s="262"/>
      <c r="BC74" s="262"/>
      <c r="BD74" s="262"/>
      <c r="BE74" s="262"/>
      <c r="BF74" s="262"/>
      <c r="BG74" s="262"/>
      <c r="BH74" s="262"/>
      <c r="BI74" s="262"/>
      <c r="BJ74" s="262"/>
      <c r="BK74" s="262"/>
      <c r="BL74" s="262"/>
      <c r="BM74" s="262"/>
      <c r="BN74" s="262"/>
      <c r="BO74" s="262"/>
      <c r="BP74" s="262"/>
      <c r="BQ74" s="262"/>
      <c r="BR74" s="262"/>
      <c r="BS74" s="262"/>
      <c r="BT74" s="262"/>
      <c r="BU74" s="262"/>
      <c r="BV74" s="262"/>
      <c r="BW74" s="262"/>
      <c r="BX74" s="262"/>
      <c r="BY74" s="262"/>
      <c r="BZ74" s="262"/>
      <c r="CA74" s="262"/>
      <c r="CB74" s="262"/>
      <c r="CC74" s="262"/>
      <c r="CD74" s="262"/>
      <c r="CE74" s="262"/>
      <c r="CF74" s="262"/>
      <c r="CG74" s="262"/>
      <c r="CH74" s="262"/>
      <c r="CI74" s="262"/>
      <c r="CJ74" s="262"/>
      <c r="CK74" s="262"/>
      <c r="CL74" s="262"/>
      <c r="CM74" s="262"/>
      <c r="CN74" s="262"/>
      <c r="CO74" s="262"/>
      <c r="CP74" s="262"/>
      <c r="CQ74" s="262"/>
      <c r="CR74" s="262"/>
      <c r="CS74" s="262"/>
      <c r="CT74" s="262"/>
      <c r="CU74" s="262"/>
      <c r="CV74" s="262"/>
      <c r="CW74" s="262"/>
      <c r="CX74" s="262"/>
      <c r="CY74" s="262"/>
      <c r="CZ74" s="262"/>
      <c r="DA74" s="262"/>
      <c r="DB74" s="262"/>
      <c r="DC74" s="262"/>
      <c r="DD74" s="262"/>
      <c r="DE74" s="262"/>
      <c r="DF74" s="262"/>
      <c r="DG74" s="262"/>
      <c r="DH74" s="262"/>
      <c r="DI74" s="262"/>
      <c r="DJ74" s="262"/>
      <c r="DK74" s="262"/>
      <c r="DL74" s="262"/>
      <c r="DM74" s="262"/>
      <c r="DN74" s="262"/>
      <c r="DO74" s="262"/>
      <c r="DP74" s="262"/>
      <c r="DQ74" s="262"/>
      <c r="DR74" s="262"/>
      <c r="DS74" s="262"/>
      <c r="DT74" s="262"/>
      <c r="DU74" s="262"/>
      <c r="DV74" s="262"/>
      <c r="DW74" s="262"/>
      <c r="DX74" s="262"/>
      <c r="DY74" s="262"/>
      <c r="DZ74" s="262"/>
      <c r="EA74" s="262"/>
      <c r="EB74" s="262"/>
      <c r="EC74" s="262"/>
      <c r="ED74" s="262"/>
      <c r="EE74" s="262"/>
      <c r="EF74" s="262"/>
      <c r="EG74" s="262"/>
      <c r="EH74" s="262"/>
      <c r="EI74" s="262"/>
      <c r="EJ74" s="262"/>
      <c r="EK74" s="262"/>
      <c r="EL74" s="262"/>
      <c r="EM74" s="262"/>
      <c r="EN74" s="262"/>
      <c r="EO74" s="262"/>
      <c r="EP74" s="262"/>
      <c r="EQ74" s="262"/>
      <c r="ER74" s="262"/>
      <c r="ES74" s="262"/>
      <c r="ET74" s="262"/>
      <c r="EU74" s="262"/>
      <c r="EV74" s="262"/>
      <c r="EW74" s="262"/>
      <c r="EX74" s="262"/>
      <c r="EY74" s="262"/>
      <c r="EZ74" s="262"/>
      <c r="FA74" s="262"/>
      <c r="FB74" s="262"/>
      <c r="FC74" s="262"/>
      <c r="FD74" s="262"/>
      <c r="FE74" s="262"/>
      <c r="FF74" s="262"/>
      <c r="FG74" s="262"/>
      <c r="FH74" s="262"/>
      <c r="FI74" s="262"/>
      <c r="FJ74" s="262"/>
      <c r="FK74" s="262"/>
      <c r="FL74" s="262"/>
      <c r="FM74" s="262"/>
      <c r="FN74" s="262"/>
      <c r="FO74" s="262"/>
      <c r="FP74" s="262"/>
      <c r="FQ74" s="262"/>
      <c r="FR74" s="262"/>
      <c r="FS74" s="262"/>
      <c r="FT74" s="262"/>
      <c r="FU74" s="262"/>
      <c r="FV74" s="262"/>
      <c r="FW74" s="262"/>
      <c r="FX74" s="262"/>
      <c r="FY74" s="262"/>
      <c r="FZ74" s="262"/>
      <c r="GA74" s="262"/>
      <c r="GB74" s="262"/>
      <c r="GC74" s="262"/>
      <c r="GD74" s="262"/>
      <c r="GE74" s="262"/>
      <c r="GF74" s="262"/>
      <c r="GG74" s="262"/>
      <c r="GH74" s="262"/>
      <c r="GI74" s="262"/>
      <c r="GJ74" s="262"/>
      <c r="GK74" s="262"/>
      <c r="GL74" s="262"/>
      <c r="GM74" s="262"/>
      <c r="GN74" s="262"/>
      <c r="GO74" s="262"/>
      <c r="GP74" s="262"/>
      <c r="GQ74" s="262"/>
      <c r="GR74" s="262"/>
      <c r="GS74" s="262"/>
      <c r="GT74" s="262"/>
      <c r="GU74" s="262"/>
      <c r="GV74" s="262"/>
      <c r="GW74" s="262"/>
      <c r="GX74" s="262"/>
      <c r="GY74" s="262"/>
      <c r="GZ74" s="262"/>
      <c r="HA74" s="262"/>
      <c r="HB74" s="262"/>
      <c r="HC74" s="262"/>
      <c r="HD74" s="262"/>
      <c r="HE74" s="262"/>
      <c r="HF74" s="262"/>
      <c r="HG74" s="262"/>
      <c r="HH74" s="262"/>
      <c r="HI74" s="262"/>
      <c r="HJ74" s="262"/>
      <c r="HK74" s="262"/>
      <c r="HL74" s="262"/>
      <c r="HM74" s="262"/>
      <c r="HN74" s="262"/>
      <c r="HO74" s="262"/>
      <c r="HP74" s="262"/>
      <c r="HQ74" s="262"/>
      <c r="HR74" s="262"/>
      <c r="HS74" s="262"/>
      <c r="HT74" s="262"/>
      <c r="HU74" s="262"/>
      <c r="HV74" s="262"/>
      <c r="HW74" s="262"/>
      <c r="HX74" s="262"/>
      <c r="HY74" s="262"/>
      <c r="HZ74" s="262"/>
      <c r="IA74" s="262"/>
      <c r="IB74" s="262"/>
      <c r="IC74" s="262"/>
      <c r="ID74" s="262"/>
      <c r="IE74" s="262"/>
      <c r="IF74" s="262"/>
      <c r="IG74" s="262"/>
      <c r="IH74" s="262"/>
      <c r="II74" s="262"/>
      <c r="IJ74" s="262"/>
      <c r="IK74" s="262"/>
      <c r="IL74" s="262"/>
      <c r="IM74" s="262"/>
      <c r="IN74" s="262"/>
      <c r="IO74" s="262"/>
      <c r="IP74" s="262"/>
      <c r="IQ74" s="262"/>
      <c r="IR74" s="262"/>
      <c r="IS74" s="262"/>
      <c r="IT74" s="262"/>
      <c r="IU74" s="262"/>
      <c r="IV74" s="262"/>
    </row>
    <row r="75" spans="1:256" x14ac:dyDescent="0.25">
      <c r="A75" s="279" t="s">
        <v>778</v>
      </c>
      <c r="B75" s="271" t="s">
        <v>451</v>
      </c>
      <c r="C75" s="285" t="s">
        <v>779</v>
      </c>
      <c r="D75" s="272">
        <v>0</v>
      </c>
      <c r="E75" s="260">
        <f>+INDEX(Sheet1!A:D,MATCH(MapaIII!C75,Sheet1!A:A,0),2)</f>
        <v>300000</v>
      </c>
      <c r="F75" s="281">
        <f t="shared" ref="F75" si="19">D75+E75</f>
        <v>300000</v>
      </c>
      <c r="G75" s="282">
        <f t="shared" si="0"/>
        <v>6.5832039728266672E-4</v>
      </c>
      <c r="H75" s="107">
        <v>600000</v>
      </c>
      <c r="K75" s="283"/>
      <c r="L75" s="267">
        <v>15</v>
      </c>
      <c r="M75" s="283"/>
      <c r="N75" s="268">
        <f t="shared" si="18"/>
        <v>300000</v>
      </c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3"/>
      <c r="AN75" s="283"/>
      <c r="AO75" s="283"/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  <c r="BE75" s="283"/>
      <c r="BF75" s="283"/>
      <c r="BG75" s="283"/>
      <c r="BH75" s="283"/>
      <c r="BI75" s="283"/>
      <c r="BJ75" s="283"/>
      <c r="BK75" s="283"/>
      <c r="BL75" s="283"/>
      <c r="BM75" s="283"/>
      <c r="BN75" s="283"/>
      <c r="BO75" s="283"/>
      <c r="BP75" s="283"/>
      <c r="BQ75" s="283"/>
      <c r="BR75" s="283"/>
      <c r="BS75" s="283"/>
      <c r="BT75" s="283"/>
      <c r="BU75" s="283"/>
      <c r="BV75" s="283"/>
      <c r="BW75" s="283"/>
      <c r="BX75" s="283"/>
      <c r="BY75" s="283"/>
      <c r="BZ75" s="283"/>
      <c r="CA75" s="283"/>
      <c r="CB75" s="283"/>
      <c r="CC75" s="283"/>
      <c r="CD75" s="283"/>
      <c r="CE75" s="283"/>
      <c r="CF75" s="283"/>
      <c r="CG75" s="283"/>
      <c r="CH75" s="283"/>
      <c r="CI75" s="283"/>
      <c r="CJ75" s="283"/>
      <c r="CK75" s="283"/>
      <c r="CL75" s="283"/>
      <c r="CM75" s="283"/>
      <c r="CN75" s="283"/>
      <c r="CO75" s="283"/>
      <c r="CP75" s="283"/>
      <c r="CQ75" s="283"/>
      <c r="CR75" s="283"/>
      <c r="CS75" s="283"/>
      <c r="CT75" s="283"/>
      <c r="CU75" s="283"/>
      <c r="CV75" s="283"/>
      <c r="CW75" s="283"/>
      <c r="CX75" s="283"/>
      <c r="CY75" s="283"/>
      <c r="CZ75" s="283"/>
      <c r="DA75" s="283"/>
      <c r="DB75" s="283"/>
      <c r="DC75" s="283"/>
      <c r="DD75" s="283"/>
      <c r="DE75" s="283"/>
      <c r="DF75" s="283"/>
      <c r="DG75" s="283"/>
      <c r="DH75" s="283"/>
      <c r="DI75" s="283"/>
      <c r="DJ75" s="283"/>
      <c r="DK75" s="283"/>
      <c r="DL75" s="283"/>
      <c r="DM75" s="283"/>
      <c r="DN75" s="283"/>
      <c r="DO75" s="283"/>
      <c r="DP75" s="283"/>
      <c r="DQ75" s="283"/>
      <c r="DR75" s="283"/>
      <c r="DS75" s="283"/>
      <c r="DT75" s="283"/>
      <c r="DU75" s="283"/>
      <c r="DV75" s="283"/>
      <c r="DW75" s="283"/>
      <c r="DX75" s="283"/>
      <c r="DY75" s="283"/>
      <c r="DZ75" s="283"/>
      <c r="EA75" s="283"/>
      <c r="EB75" s="283"/>
      <c r="EC75" s="283"/>
      <c r="ED75" s="283"/>
      <c r="EE75" s="283"/>
      <c r="EF75" s="283"/>
      <c r="EG75" s="283"/>
      <c r="EH75" s="283"/>
      <c r="EI75" s="283"/>
      <c r="EJ75" s="283"/>
      <c r="EK75" s="283"/>
      <c r="EL75" s="283"/>
      <c r="EM75" s="283"/>
      <c r="EN75" s="283"/>
      <c r="EO75" s="283"/>
      <c r="EP75" s="283"/>
      <c r="EQ75" s="283"/>
      <c r="ER75" s="283"/>
      <c r="ES75" s="283"/>
      <c r="ET75" s="283"/>
      <c r="EU75" s="283"/>
      <c r="EV75" s="283"/>
      <c r="EW75" s="283"/>
      <c r="EX75" s="283"/>
      <c r="EY75" s="283"/>
      <c r="EZ75" s="283"/>
      <c r="FA75" s="283"/>
      <c r="FB75" s="283"/>
      <c r="FC75" s="283"/>
      <c r="FD75" s="283"/>
      <c r="FE75" s="283"/>
      <c r="FF75" s="283"/>
      <c r="FG75" s="283"/>
      <c r="FH75" s="283"/>
      <c r="FI75" s="283"/>
      <c r="FJ75" s="283"/>
      <c r="FK75" s="283"/>
      <c r="FL75" s="283"/>
      <c r="FM75" s="283"/>
      <c r="FN75" s="283"/>
      <c r="FO75" s="283"/>
      <c r="FP75" s="283"/>
      <c r="FQ75" s="283"/>
      <c r="FR75" s="283"/>
      <c r="FS75" s="283"/>
      <c r="FT75" s="283"/>
      <c r="FU75" s="283"/>
      <c r="FV75" s="283"/>
      <c r="FW75" s="283"/>
      <c r="FX75" s="283"/>
      <c r="FY75" s="283"/>
      <c r="FZ75" s="283"/>
      <c r="GA75" s="283"/>
      <c r="GB75" s="283"/>
      <c r="GC75" s="283"/>
      <c r="GD75" s="283"/>
      <c r="GE75" s="283"/>
      <c r="GF75" s="283"/>
      <c r="GG75" s="283"/>
      <c r="GH75" s="283"/>
      <c r="GI75" s="283"/>
      <c r="GJ75" s="283"/>
      <c r="GK75" s="283"/>
      <c r="GL75" s="283"/>
      <c r="GM75" s="283"/>
      <c r="GN75" s="283"/>
      <c r="GO75" s="283"/>
      <c r="GP75" s="283"/>
      <c r="GQ75" s="283"/>
      <c r="GR75" s="283"/>
      <c r="GS75" s="283"/>
      <c r="GT75" s="283"/>
      <c r="GU75" s="283"/>
      <c r="GV75" s="283"/>
      <c r="GW75" s="283"/>
      <c r="GX75" s="283"/>
      <c r="GY75" s="283"/>
      <c r="GZ75" s="283"/>
      <c r="HA75" s="283"/>
      <c r="HB75" s="283"/>
      <c r="HC75" s="283"/>
      <c r="HD75" s="283"/>
      <c r="HE75" s="283"/>
      <c r="HF75" s="283"/>
      <c r="HG75" s="283"/>
      <c r="HH75" s="283"/>
      <c r="HI75" s="283"/>
      <c r="HJ75" s="283"/>
      <c r="HK75" s="283"/>
      <c r="HL75" s="283"/>
      <c r="HM75" s="283"/>
      <c r="HN75" s="283"/>
      <c r="HO75" s="283"/>
      <c r="HP75" s="283"/>
      <c r="HQ75" s="283"/>
      <c r="HR75" s="283"/>
      <c r="HS75" s="283"/>
      <c r="HT75" s="283"/>
      <c r="HU75" s="283"/>
      <c r="HV75" s="283"/>
      <c r="HW75" s="283"/>
      <c r="HX75" s="283"/>
      <c r="HY75" s="283"/>
      <c r="HZ75" s="283"/>
      <c r="IA75" s="283"/>
      <c r="IB75" s="283"/>
      <c r="IC75" s="283"/>
      <c r="ID75" s="283"/>
      <c r="IE75" s="283"/>
      <c r="IF75" s="283"/>
      <c r="IG75" s="283"/>
      <c r="IH75" s="283"/>
      <c r="II75" s="283"/>
      <c r="IJ75" s="283"/>
      <c r="IK75" s="283"/>
      <c r="IL75" s="283"/>
      <c r="IM75" s="283"/>
      <c r="IN75" s="283"/>
      <c r="IO75" s="283"/>
      <c r="IP75" s="283"/>
      <c r="IQ75" s="283"/>
      <c r="IR75" s="283"/>
      <c r="IS75" s="283"/>
      <c r="IT75" s="283"/>
      <c r="IU75" s="283"/>
      <c r="IV75" s="283"/>
    </row>
    <row r="76" spans="1:256" x14ac:dyDescent="0.25">
      <c r="A76" s="279" t="s">
        <v>778</v>
      </c>
      <c r="B76" s="271" t="s">
        <v>451</v>
      </c>
      <c r="C76" s="285" t="s">
        <v>1048</v>
      </c>
      <c r="D76" s="272">
        <v>0</v>
      </c>
      <c r="E76" s="260">
        <f>+INDEX(Sheet1!A:D,MATCH(MapaIII!C76,Sheet1!A:A,0),2)</f>
        <v>100000</v>
      </c>
      <c r="F76" s="281">
        <f t="shared" ref="F76:F77" si="20">D76+E76</f>
        <v>100000</v>
      </c>
      <c r="G76" s="282">
        <f t="shared" ref="G76:G77" si="21">F76/$F$9</f>
        <v>2.1944013242755557E-4</v>
      </c>
      <c r="H76" s="107" t="e">
        <v>#N/A</v>
      </c>
      <c r="K76" s="283"/>
      <c r="L76" s="267" t="e">
        <v>#N/A</v>
      </c>
      <c r="M76" s="283"/>
      <c r="N76" s="268" t="e">
        <f t="shared" ref="N76" si="22">+H76-E76</f>
        <v>#N/A</v>
      </c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3"/>
      <c r="AN76" s="283"/>
      <c r="AO76" s="283"/>
      <c r="AP76" s="283"/>
      <c r="AQ76" s="283"/>
      <c r="AR76" s="283"/>
      <c r="AS76" s="283"/>
      <c r="AT76" s="283"/>
      <c r="AU76" s="283"/>
      <c r="AV76" s="283"/>
      <c r="AW76" s="283"/>
      <c r="AX76" s="283"/>
      <c r="AY76" s="283"/>
      <c r="AZ76" s="283"/>
      <c r="BA76" s="283"/>
      <c r="BB76" s="283"/>
      <c r="BC76" s="283"/>
      <c r="BD76" s="283"/>
      <c r="BE76" s="283"/>
      <c r="BF76" s="283"/>
      <c r="BG76" s="283"/>
      <c r="BH76" s="283"/>
      <c r="BI76" s="283"/>
      <c r="BJ76" s="283"/>
      <c r="BK76" s="283"/>
      <c r="BL76" s="283"/>
      <c r="BM76" s="283"/>
      <c r="BN76" s="283"/>
      <c r="BO76" s="283"/>
      <c r="BP76" s="283"/>
      <c r="BQ76" s="283"/>
      <c r="BR76" s="283"/>
      <c r="BS76" s="283"/>
      <c r="BT76" s="283"/>
      <c r="BU76" s="283"/>
      <c r="BV76" s="283"/>
      <c r="BW76" s="283"/>
      <c r="BX76" s="283"/>
      <c r="BY76" s="283"/>
      <c r="BZ76" s="283"/>
      <c r="CA76" s="283"/>
      <c r="CB76" s="283"/>
      <c r="CC76" s="283"/>
      <c r="CD76" s="283"/>
      <c r="CE76" s="283"/>
      <c r="CF76" s="283"/>
      <c r="CG76" s="283"/>
      <c r="CH76" s="283"/>
      <c r="CI76" s="283"/>
      <c r="CJ76" s="283"/>
      <c r="CK76" s="283"/>
      <c r="CL76" s="283"/>
      <c r="CM76" s="283"/>
      <c r="CN76" s="283"/>
      <c r="CO76" s="283"/>
      <c r="CP76" s="283"/>
      <c r="CQ76" s="283"/>
      <c r="CR76" s="283"/>
      <c r="CS76" s="283"/>
      <c r="CT76" s="283"/>
      <c r="CU76" s="283"/>
      <c r="CV76" s="283"/>
      <c r="CW76" s="283"/>
      <c r="CX76" s="283"/>
      <c r="CY76" s="283"/>
      <c r="CZ76" s="283"/>
      <c r="DA76" s="283"/>
      <c r="DB76" s="283"/>
      <c r="DC76" s="283"/>
      <c r="DD76" s="283"/>
      <c r="DE76" s="283"/>
      <c r="DF76" s="283"/>
      <c r="DG76" s="283"/>
      <c r="DH76" s="283"/>
      <c r="DI76" s="283"/>
      <c r="DJ76" s="283"/>
      <c r="DK76" s="283"/>
      <c r="DL76" s="283"/>
      <c r="DM76" s="283"/>
      <c r="DN76" s="283"/>
      <c r="DO76" s="283"/>
      <c r="DP76" s="283"/>
      <c r="DQ76" s="283"/>
      <c r="DR76" s="283"/>
      <c r="DS76" s="283"/>
      <c r="DT76" s="283"/>
      <c r="DU76" s="283"/>
      <c r="DV76" s="283"/>
      <c r="DW76" s="283"/>
      <c r="DX76" s="283"/>
      <c r="DY76" s="283"/>
      <c r="DZ76" s="283"/>
      <c r="EA76" s="283"/>
      <c r="EB76" s="283"/>
      <c r="EC76" s="283"/>
      <c r="ED76" s="283"/>
      <c r="EE76" s="283"/>
      <c r="EF76" s="283"/>
      <c r="EG76" s="283"/>
      <c r="EH76" s="283"/>
      <c r="EI76" s="283"/>
      <c r="EJ76" s="283"/>
      <c r="EK76" s="283"/>
      <c r="EL76" s="283"/>
      <c r="EM76" s="283"/>
      <c r="EN76" s="283"/>
      <c r="EO76" s="283"/>
      <c r="EP76" s="283"/>
      <c r="EQ76" s="283"/>
      <c r="ER76" s="283"/>
      <c r="ES76" s="283"/>
      <c r="ET76" s="283"/>
      <c r="EU76" s="283"/>
      <c r="EV76" s="283"/>
      <c r="EW76" s="283"/>
      <c r="EX76" s="283"/>
      <c r="EY76" s="283"/>
      <c r="EZ76" s="283"/>
      <c r="FA76" s="283"/>
      <c r="FB76" s="283"/>
      <c r="FC76" s="283"/>
      <c r="FD76" s="283"/>
      <c r="FE76" s="283"/>
      <c r="FF76" s="283"/>
      <c r="FG76" s="283"/>
      <c r="FH76" s="283"/>
      <c r="FI76" s="283"/>
      <c r="FJ76" s="283"/>
      <c r="FK76" s="283"/>
      <c r="FL76" s="283"/>
      <c r="FM76" s="283"/>
      <c r="FN76" s="283"/>
      <c r="FO76" s="283"/>
      <c r="FP76" s="283"/>
      <c r="FQ76" s="283"/>
      <c r="FR76" s="283"/>
      <c r="FS76" s="283"/>
      <c r="FT76" s="283"/>
      <c r="FU76" s="283"/>
      <c r="FV76" s="283"/>
      <c r="FW76" s="283"/>
      <c r="FX76" s="283"/>
      <c r="FY76" s="283"/>
      <c r="FZ76" s="283"/>
      <c r="GA76" s="283"/>
      <c r="GB76" s="283"/>
      <c r="GC76" s="283"/>
      <c r="GD76" s="283"/>
      <c r="GE76" s="283"/>
      <c r="GF76" s="283"/>
      <c r="GG76" s="283"/>
      <c r="GH76" s="283"/>
      <c r="GI76" s="283"/>
      <c r="GJ76" s="283"/>
      <c r="GK76" s="283"/>
      <c r="GL76" s="283"/>
      <c r="GM76" s="283"/>
      <c r="GN76" s="283"/>
      <c r="GO76" s="283"/>
      <c r="GP76" s="283"/>
      <c r="GQ76" s="283"/>
      <c r="GR76" s="283"/>
      <c r="GS76" s="283"/>
      <c r="GT76" s="283"/>
      <c r="GU76" s="283"/>
      <c r="GV76" s="283"/>
      <c r="GW76" s="283"/>
      <c r="GX76" s="283"/>
      <c r="GY76" s="283"/>
      <c r="GZ76" s="283"/>
      <c r="HA76" s="283"/>
      <c r="HB76" s="283"/>
      <c r="HC76" s="283"/>
      <c r="HD76" s="283"/>
      <c r="HE76" s="283"/>
      <c r="HF76" s="283"/>
      <c r="HG76" s="283"/>
      <c r="HH76" s="283"/>
      <c r="HI76" s="283"/>
      <c r="HJ76" s="283"/>
      <c r="HK76" s="283"/>
      <c r="HL76" s="283"/>
      <c r="HM76" s="283"/>
      <c r="HN76" s="283"/>
      <c r="HO76" s="283"/>
      <c r="HP76" s="283"/>
      <c r="HQ76" s="283"/>
      <c r="HR76" s="283"/>
      <c r="HS76" s="283"/>
      <c r="HT76" s="283"/>
      <c r="HU76" s="283"/>
      <c r="HV76" s="283"/>
      <c r="HW76" s="283"/>
      <c r="HX76" s="283"/>
      <c r="HY76" s="283"/>
      <c r="HZ76" s="283"/>
      <c r="IA76" s="283"/>
      <c r="IB76" s="283"/>
      <c r="IC76" s="283"/>
      <c r="ID76" s="283"/>
      <c r="IE76" s="283"/>
      <c r="IF76" s="283"/>
      <c r="IG76" s="283"/>
      <c r="IH76" s="283"/>
      <c r="II76" s="283"/>
      <c r="IJ76" s="283"/>
      <c r="IK76" s="283"/>
      <c r="IL76" s="283"/>
      <c r="IM76" s="283"/>
      <c r="IN76" s="283"/>
      <c r="IO76" s="283"/>
      <c r="IP76" s="283"/>
      <c r="IQ76" s="283"/>
      <c r="IR76" s="283"/>
      <c r="IS76" s="283"/>
      <c r="IT76" s="283"/>
      <c r="IU76" s="283"/>
      <c r="IV76" s="283"/>
    </row>
    <row r="77" spans="1:256" x14ac:dyDescent="0.25">
      <c r="A77" s="279" t="s">
        <v>778</v>
      </c>
      <c r="B77" s="271" t="s">
        <v>451</v>
      </c>
      <c r="C77" s="285" t="s">
        <v>777</v>
      </c>
      <c r="D77" s="272"/>
      <c r="E77" s="260">
        <f>+INDEX(Sheet1!A:D,MATCH(MapaIII!C77,Sheet1!A:A,0),2)</f>
        <v>1000000</v>
      </c>
      <c r="F77" s="281">
        <f t="shared" si="20"/>
        <v>1000000</v>
      </c>
      <c r="G77" s="282">
        <f t="shared" si="21"/>
        <v>2.1944013242755555E-3</v>
      </c>
      <c r="H77" s="107"/>
      <c r="K77" s="283"/>
      <c r="L77" s="267"/>
      <c r="M77" s="283"/>
      <c r="N77" s="268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3"/>
      <c r="AN77" s="283"/>
      <c r="AO77" s="283"/>
      <c r="AP77" s="283"/>
      <c r="AQ77" s="283"/>
      <c r="AR77" s="283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  <c r="BE77" s="283"/>
      <c r="BF77" s="283"/>
      <c r="BG77" s="283"/>
      <c r="BH77" s="283"/>
      <c r="BI77" s="283"/>
      <c r="BJ77" s="283"/>
      <c r="BK77" s="283"/>
      <c r="BL77" s="283"/>
      <c r="BM77" s="283"/>
      <c r="BN77" s="283"/>
      <c r="BO77" s="283"/>
      <c r="BP77" s="283"/>
      <c r="BQ77" s="283"/>
      <c r="BR77" s="283"/>
      <c r="BS77" s="283"/>
      <c r="BT77" s="283"/>
      <c r="BU77" s="283"/>
      <c r="BV77" s="283"/>
      <c r="BW77" s="283"/>
      <c r="BX77" s="283"/>
      <c r="BY77" s="283"/>
      <c r="BZ77" s="283"/>
      <c r="CA77" s="283"/>
      <c r="CB77" s="283"/>
      <c r="CC77" s="283"/>
      <c r="CD77" s="283"/>
      <c r="CE77" s="283"/>
      <c r="CF77" s="283"/>
      <c r="CG77" s="283"/>
      <c r="CH77" s="283"/>
      <c r="CI77" s="283"/>
      <c r="CJ77" s="283"/>
      <c r="CK77" s="283"/>
      <c r="CL77" s="283"/>
      <c r="CM77" s="283"/>
      <c r="CN77" s="283"/>
      <c r="CO77" s="283"/>
      <c r="CP77" s="283"/>
      <c r="CQ77" s="283"/>
      <c r="CR77" s="283"/>
      <c r="CS77" s="283"/>
      <c r="CT77" s="283"/>
      <c r="CU77" s="283"/>
      <c r="CV77" s="283"/>
      <c r="CW77" s="283"/>
      <c r="CX77" s="283"/>
      <c r="CY77" s="283"/>
      <c r="CZ77" s="283"/>
      <c r="DA77" s="283"/>
      <c r="DB77" s="283"/>
      <c r="DC77" s="283"/>
      <c r="DD77" s="283"/>
      <c r="DE77" s="283"/>
      <c r="DF77" s="283"/>
      <c r="DG77" s="283"/>
      <c r="DH77" s="283"/>
      <c r="DI77" s="283"/>
      <c r="DJ77" s="283"/>
      <c r="DK77" s="283"/>
      <c r="DL77" s="283"/>
      <c r="DM77" s="283"/>
      <c r="DN77" s="283"/>
      <c r="DO77" s="283"/>
      <c r="DP77" s="283"/>
      <c r="DQ77" s="283"/>
      <c r="DR77" s="283"/>
      <c r="DS77" s="283"/>
      <c r="DT77" s="283"/>
      <c r="DU77" s="283"/>
      <c r="DV77" s="283"/>
      <c r="DW77" s="283"/>
      <c r="DX77" s="283"/>
      <c r="DY77" s="283"/>
      <c r="DZ77" s="283"/>
      <c r="EA77" s="283"/>
      <c r="EB77" s="283"/>
      <c r="EC77" s="283"/>
      <c r="ED77" s="283"/>
      <c r="EE77" s="283"/>
      <c r="EF77" s="283"/>
      <c r="EG77" s="283"/>
      <c r="EH77" s="283"/>
      <c r="EI77" s="283"/>
      <c r="EJ77" s="283"/>
      <c r="EK77" s="283"/>
      <c r="EL77" s="283"/>
      <c r="EM77" s="283"/>
      <c r="EN77" s="283"/>
      <c r="EO77" s="283"/>
      <c r="EP77" s="283"/>
      <c r="EQ77" s="283"/>
      <c r="ER77" s="283"/>
      <c r="ES77" s="283"/>
      <c r="ET77" s="283"/>
      <c r="EU77" s="283"/>
      <c r="EV77" s="283"/>
      <c r="EW77" s="283"/>
      <c r="EX77" s="283"/>
      <c r="EY77" s="283"/>
      <c r="EZ77" s="283"/>
      <c r="FA77" s="283"/>
      <c r="FB77" s="283"/>
      <c r="FC77" s="283"/>
      <c r="FD77" s="283"/>
      <c r="FE77" s="283"/>
      <c r="FF77" s="283"/>
      <c r="FG77" s="283"/>
      <c r="FH77" s="283"/>
      <c r="FI77" s="283"/>
      <c r="FJ77" s="283"/>
      <c r="FK77" s="283"/>
      <c r="FL77" s="283"/>
      <c r="FM77" s="283"/>
      <c r="FN77" s="283"/>
      <c r="FO77" s="283"/>
      <c r="FP77" s="283"/>
      <c r="FQ77" s="283"/>
      <c r="FR77" s="283"/>
      <c r="FS77" s="283"/>
      <c r="FT77" s="283"/>
      <c r="FU77" s="283"/>
      <c r="FV77" s="283"/>
      <c r="FW77" s="283"/>
      <c r="FX77" s="283"/>
      <c r="FY77" s="283"/>
      <c r="FZ77" s="283"/>
      <c r="GA77" s="283"/>
      <c r="GB77" s="283"/>
      <c r="GC77" s="283"/>
      <c r="GD77" s="283"/>
      <c r="GE77" s="283"/>
      <c r="GF77" s="283"/>
      <c r="GG77" s="283"/>
      <c r="GH77" s="283"/>
      <c r="GI77" s="283"/>
      <c r="GJ77" s="283"/>
      <c r="GK77" s="283"/>
      <c r="GL77" s="283"/>
      <c r="GM77" s="283"/>
      <c r="GN77" s="283"/>
      <c r="GO77" s="283"/>
      <c r="GP77" s="283"/>
      <c r="GQ77" s="283"/>
      <c r="GR77" s="283"/>
      <c r="GS77" s="283"/>
      <c r="GT77" s="283"/>
      <c r="GU77" s="283"/>
      <c r="GV77" s="283"/>
      <c r="GW77" s="283"/>
      <c r="GX77" s="283"/>
      <c r="GY77" s="283"/>
      <c r="GZ77" s="283"/>
      <c r="HA77" s="283"/>
      <c r="HB77" s="283"/>
      <c r="HC77" s="283"/>
      <c r="HD77" s="283"/>
      <c r="HE77" s="283"/>
      <c r="HF77" s="283"/>
      <c r="HG77" s="283"/>
      <c r="HH77" s="283"/>
      <c r="HI77" s="283"/>
      <c r="HJ77" s="283"/>
      <c r="HK77" s="283"/>
      <c r="HL77" s="283"/>
      <c r="HM77" s="283"/>
      <c r="HN77" s="283"/>
      <c r="HO77" s="283"/>
      <c r="HP77" s="283"/>
      <c r="HQ77" s="283"/>
      <c r="HR77" s="283"/>
      <c r="HS77" s="283"/>
      <c r="HT77" s="283"/>
      <c r="HU77" s="283"/>
      <c r="HV77" s="283"/>
      <c r="HW77" s="283"/>
      <c r="HX77" s="283"/>
      <c r="HY77" s="283"/>
      <c r="HZ77" s="283"/>
      <c r="IA77" s="283"/>
      <c r="IB77" s="283"/>
      <c r="IC77" s="283"/>
      <c r="ID77" s="283"/>
      <c r="IE77" s="283"/>
      <c r="IF77" s="283"/>
      <c r="IG77" s="283"/>
      <c r="IH77" s="283"/>
      <c r="II77" s="283"/>
      <c r="IJ77" s="283"/>
      <c r="IK77" s="283"/>
      <c r="IL77" s="283"/>
      <c r="IM77" s="283"/>
      <c r="IN77" s="283"/>
      <c r="IO77" s="283"/>
      <c r="IP77" s="283"/>
      <c r="IQ77" s="283"/>
      <c r="IR77" s="283"/>
      <c r="IS77" s="283"/>
      <c r="IT77" s="283"/>
      <c r="IU77" s="283"/>
      <c r="IV77" s="283"/>
    </row>
    <row r="78" spans="1:256" x14ac:dyDescent="0.25">
      <c r="A78" s="279" t="s">
        <v>780</v>
      </c>
      <c r="B78" s="271" t="s">
        <v>451</v>
      </c>
      <c r="C78" s="285" t="s">
        <v>781</v>
      </c>
      <c r="D78" s="272">
        <v>0</v>
      </c>
      <c r="E78" s="260">
        <f>+INDEX(Sheet1!A:D,MATCH(MapaIII!C78,Sheet1!A:A,0),2)</f>
        <v>3500000</v>
      </c>
      <c r="F78" s="281">
        <f>E78+D78</f>
        <v>3500000</v>
      </c>
      <c r="G78" s="282">
        <f t="shared" si="0"/>
        <v>7.6804046349644448E-3</v>
      </c>
      <c r="H78" s="107">
        <v>4000000</v>
      </c>
      <c r="K78" s="283"/>
      <c r="L78" s="267">
        <v>14</v>
      </c>
      <c r="M78" s="283"/>
      <c r="N78" s="268">
        <f t="shared" si="18"/>
        <v>500000</v>
      </c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3"/>
      <c r="AN78" s="283"/>
      <c r="AO78" s="283"/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  <c r="BE78" s="283"/>
      <c r="BF78" s="283"/>
      <c r="BG78" s="283"/>
      <c r="BH78" s="283"/>
      <c r="BI78" s="283"/>
      <c r="BJ78" s="283"/>
      <c r="BK78" s="283"/>
      <c r="BL78" s="283"/>
      <c r="BM78" s="283"/>
      <c r="BN78" s="283"/>
      <c r="BO78" s="283"/>
      <c r="BP78" s="283"/>
      <c r="BQ78" s="283"/>
      <c r="BR78" s="283"/>
      <c r="BS78" s="283"/>
      <c r="BT78" s="283"/>
      <c r="BU78" s="283"/>
      <c r="BV78" s="283"/>
      <c r="BW78" s="283"/>
      <c r="BX78" s="283"/>
      <c r="BY78" s="283"/>
      <c r="BZ78" s="283"/>
      <c r="CA78" s="283"/>
      <c r="CB78" s="283"/>
      <c r="CC78" s="283"/>
      <c r="CD78" s="283"/>
      <c r="CE78" s="283"/>
      <c r="CF78" s="283"/>
      <c r="CG78" s="283"/>
      <c r="CH78" s="283"/>
      <c r="CI78" s="283"/>
      <c r="CJ78" s="283"/>
      <c r="CK78" s="283"/>
      <c r="CL78" s="283"/>
      <c r="CM78" s="283"/>
      <c r="CN78" s="283"/>
      <c r="CO78" s="283"/>
      <c r="CP78" s="283"/>
      <c r="CQ78" s="283"/>
      <c r="CR78" s="283"/>
      <c r="CS78" s="283"/>
      <c r="CT78" s="283"/>
      <c r="CU78" s="283"/>
      <c r="CV78" s="283"/>
      <c r="CW78" s="283"/>
      <c r="CX78" s="283"/>
      <c r="CY78" s="283"/>
      <c r="CZ78" s="283"/>
      <c r="DA78" s="283"/>
      <c r="DB78" s="283"/>
      <c r="DC78" s="283"/>
      <c r="DD78" s="283"/>
      <c r="DE78" s="283"/>
      <c r="DF78" s="283"/>
      <c r="DG78" s="283"/>
      <c r="DH78" s="283"/>
      <c r="DI78" s="283"/>
      <c r="DJ78" s="283"/>
      <c r="DK78" s="283"/>
      <c r="DL78" s="283"/>
      <c r="DM78" s="283"/>
      <c r="DN78" s="283"/>
      <c r="DO78" s="283"/>
      <c r="DP78" s="283"/>
      <c r="DQ78" s="283"/>
      <c r="DR78" s="283"/>
      <c r="DS78" s="283"/>
      <c r="DT78" s="283"/>
      <c r="DU78" s="283"/>
      <c r="DV78" s="283"/>
      <c r="DW78" s="283"/>
      <c r="DX78" s="283"/>
      <c r="DY78" s="283"/>
      <c r="DZ78" s="283"/>
      <c r="EA78" s="283"/>
      <c r="EB78" s="283"/>
      <c r="EC78" s="283"/>
      <c r="ED78" s="283"/>
      <c r="EE78" s="283"/>
      <c r="EF78" s="283"/>
      <c r="EG78" s="283"/>
      <c r="EH78" s="283"/>
      <c r="EI78" s="283"/>
      <c r="EJ78" s="283"/>
      <c r="EK78" s="283"/>
      <c r="EL78" s="283"/>
      <c r="EM78" s="283"/>
      <c r="EN78" s="283"/>
      <c r="EO78" s="283"/>
      <c r="EP78" s="283"/>
      <c r="EQ78" s="283"/>
      <c r="ER78" s="283"/>
      <c r="ES78" s="283"/>
      <c r="ET78" s="283"/>
      <c r="EU78" s="283"/>
      <c r="EV78" s="283"/>
      <c r="EW78" s="283"/>
      <c r="EX78" s="283"/>
      <c r="EY78" s="283"/>
      <c r="EZ78" s="283"/>
      <c r="FA78" s="283"/>
      <c r="FB78" s="283"/>
      <c r="FC78" s="283"/>
      <c r="FD78" s="283"/>
      <c r="FE78" s="283"/>
      <c r="FF78" s="283"/>
      <c r="FG78" s="283"/>
      <c r="FH78" s="283"/>
      <c r="FI78" s="283"/>
      <c r="FJ78" s="283"/>
      <c r="FK78" s="283"/>
      <c r="FL78" s="283"/>
      <c r="FM78" s="283"/>
      <c r="FN78" s="283"/>
      <c r="FO78" s="283"/>
      <c r="FP78" s="283"/>
      <c r="FQ78" s="283"/>
      <c r="FR78" s="283"/>
      <c r="FS78" s="283"/>
      <c r="FT78" s="283"/>
      <c r="FU78" s="283"/>
      <c r="FV78" s="283"/>
      <c r="FW78" s="283"/>
      <c r="FX78" s="283"/>
      <c r="FY78" s="283"/>
      <c r="FZ78" s="283"/>
      <c r="GA78" s="283"/>
      <c r="GB78" s="283"/>
      <c r="GC78" s="283"/>
      <c r="GD78" s="283"/>
      <c r="GE78" s="283"/>
      <c r="GF78" s="283"/>
      <c r="GG78" s="283"/>
      <c r="GH78" s="283"/>
      <c r="GI78" s="283"/>
      <c r="GJ78" s="283"/>
      <c r="GK78" s="283"/>
      <c r="GL78" s="283"/>
      <c r="GM78" s="283"/>
      <c r="GN78" s="283"/>
      <c r="GO78" s="283"/>
      <c r="GP78" s="283"/>
      <c r="GQ78" s="283"/>
      <c r="GR78" s="283"/>
      <c r="GS78" s="283"/>
      <c r="GT78" s="283"/>
      <c r="GU78" s="283"/>
      <c r="GV78" s="283"/>
      <c r="GW78" s="283"/>
      <c r="GX78" s="283"/>
      <c r="GY78" s="283"/>
      <c r="GZ78" s="283"/>
      <c r="HA78" s="283"/>
      <c r="HB78" s="283"/>
      <c r="HC78" s="283"/>
      <c r="HD78" s="283"/>
      <c r="HE78" s="283"/>
      <c r="HF78" s="283"/>
      <c r="HG78" s="283"/>
      <c r="HH78" s="283"/>
      <c r="HI78" s="283"/>
      <c r="HJ78" s="283"/>
      <c r="HK78" s="283"/>
      <c r="HL78" s="283"/>
      <c r="HM78" s="283"/>
      <c r="HN78" s="283"/>
      <c r="HO78" s="283"/>
      <c r="HP78" s="283"/>
      <c r="HQ78" s="283"/>
      <c r="HR78" s="283"/>
      <c r="HS78" s="283"/>
      <c r="HT78" s="283"/>
      <c r="HU78" s="283"/>
      <c r="HV78" s="283"/>
      <c r="HW78" s="283"/>
      <c r="HX78" s="283"/>
      <c r="HY78" s="283"/>
      <c r="HZ78" s="283"/>
      <c r="IA78" s="283"/>
      <c r="IB78" s="283"/>
      <c r="IC78" s="283"/>
      <c r="ID78" s="283"/>
      <c r="IE78" s="283"/>
      <c r="IF78" s="283"/>
      <c r="IG78" s="283"/>
      <c r="IH78" s="283"/>
      <c r="II78" s="283"/>
      <c r="IJ78" s="283"/>
      <c r="IK78" s="283"/>
      <c r="IL78" s="283"/>
      <c r="IM78" s="283"/>
      <c r="IN78" s="283"/>
      <c r="IO78" s="283"/>
      <c r="IP78" s="283"/>
      <c r="IQ78" s="283"/>
      <c r="IR78" s="283"/>
      <c r="IS78" s="283"/>
      <c r="IT78" s="283"/>
      <c r="IU78" s="283"/>
      <c r="IV78" s="283"/>
    </row>
    <row r="79" spans="1:256" x14ac:dyDescent="0.2">
      <c r="A79" s="241" t="s">
        <v>782</v>
      </c>
      <c r="B79" s="242"/>
      <c r="C79" s="241" t="s">
        <v>783</v>
      </c>
      <c r="D79" s="244">
        <f>+SUM(D80:D82)</f>
        <v>0</v>
      </c>
      <c r="E79" s="244">
        <f>+SUM(E80:E82)</f>
        <v>16700000</v>
      </c>
      <c r="F79" s="244">
        <f>D79+E79</f>
        <v>16700000</v>
      </c>
      <c r="G79" s="245">
        <f t="shared" si="0"/>
        <v>3.6646502115401783E-2</v>
      </c>
      <c r="H79" s="267">
        <v>0</v>
      </c>
      <c r="K79" s="262"/>
      <c r="L79" s="267" t="e">
        <v>#N/A</v>
      </c>
      <c r="M79" s="262"/>
      <c r="N79" s="268">
        <f t="shared" si="18"/>
        <v>-16700000</v>
      </c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2"/>
      <c r="AC79" s="262"/>
      <c r="AD79" s="262"/>
      <c r="AE79" s="262"/>
      <c r="AF79" s="262"/>
      <c r="AG79" s="262"/>
      <c r="AH79" s="262"/>
      <c r="AI79" s="262"/>
      <c r="AJ79" s="262"/>
      <c r="AK79" s="262"/>
      <c r="AL79" s="262"/>
      <c r="AM79" s="262"/>
      <c r="AN79" s="262"/>
      <c r="AO79" s="262"/>
      <c r="AP79" s="262"/>
      <c r="AQ79" s="262"/>
      <c r="AR79" s="262"/>
      <c r="AS79" s="262"/>
      <c r="AT79" s="262"/>
      <c r="AU79" s="262"/>
      <c r="AV79" s="262"/>
      <c r="AW79" s="262"/>
      <c r="AX79" s="262"/>
      <c r="AY79" s="262"/>
      <c r="AZ79" s="262"/>
      <c r="BA79" s="262"/>
      <c r="BB79" s="262"/>
      <c r="BC79" s="262"/>
      <c r="BD79" s="262"/>
      <c r="BE79" s="262"/>
      <c r="BF79" s="262"/>
      <c r="BG79" s="262"/>
      <c r="BH79" s="262"/>
      <c r="BI79" s="262"/>
      <c r="BJ79" s="262"/>
      <c r="BK79" s="262"/>
      <c r="BL79" s="262"/>
      <c r="BM79" s="262"/>
      <c r="BN79" s="262"/>
      <c r="BO79" s="262"/>
      <c r="BP79" s="262"/>
      <c r="BQ79" s="262"/>
      <c r="BR79" s="262"/>
      <c r="BS79" s="262"/>
      <c r="BT79" s="262"/>
      <c r="BU79" s="262"/>
      <c r="BV79" s="262"/>
      <c r="BW79" s="262"/>
      <c r="BX79" s="262"/>
      <c r="BY79" s="262"/>
      <c r="BZ79" s="262"/>
      <c r="CA79" s="262"/>
      <c r="CB79" s="262"/>
      <c r="CC79" s="262"/>
      <c r="CD79" s="262"/>
      <c r="CE79" s="262"/>
      <c r="CF79" s="262"/>
      <c r="CG79" s="262"/>
      <c r="CH79" s="262"/>
      <c r="CI79" s="262"/>
      <c r="CJ79" s="262"/>
      <c r="CK79" s="262"/>
      <c r="CL79" s="262"/>
      <c r="CM79" s="262"/>
      <c r="CN79" s="262"/>
      <c r="CO79" s="262"/>
      <c r="CP79" s="262"/>
      <c r="CQ79" s="262"/>
      <c r="CR79" s="262"/>
      <c r="CS79" s="262"/>
      <c r="CT79" s="262"/>
      <c r="CU79" s="262"/>
      <c r="CV79" s="262"/>
      <c r="CW79" s="262"/>
      <c r="CX79" s="262"/>
      <c r="CY79" s="262"/>
      <c r="CZ79" s="262"/>
      <c r="DA79" s="262"/>
      <c r="DB79" s="262"/>
      <c r="DC79" s="262"/>
      <c r="DD79" s="262"/>
      <c r="DE79" s="262"/>
      <c r="DF79" s="262"/>
      <c r="DG79" s="262"/>
      <c r="DH79" s="262"/>
      <c r="DI79" s="262"/>
      <c r="DJ79" s="262"/>
      <c r="DK79" s="262"/>
      <c r="DL79" s="262"/>
      <c r="DM79" s="262"/>
      <c r="DN79" s="262"/>
      <c r="DO79" s="262"/>
      <c r="DP79" s="262"/>
      <c r="DQ79" s="262"/>
      <c r="DR79" s="262"/>
      <c r="DS79" s="262"/>
      <c r="DT79" s="262"/>
      <c r="DU79" s="262"/>
      <c r="DV79" s="262"/>
      <c r="DW79" s="262"/>
      <c r="DX79" s="262"/>
      <c r="DY79" s="262"/>
      <c r="DZ79" s="262"/>
      <c r="EA79" s="262"/>
      <c r="EB79" s="262"/>
      <c r="EC79" s="262"/>
      <c r="ED79" s="262"/>
      <c r="EE79" s="262"/>
      <c r="EF79" s="262"/>
      <c r="EG79" s="262"/>
      <c r="EH79" s="262"/>
      <c r="EI79" s="262"/>
      <c r="EJ79" s="262"/>
      <c r="EK79" s="262"/>
      <c r="EL79" s="262"/>
      <c r="EM79" s="262"/>
      <c r="EN79" s="262"/>
      <c r="EO79" s="262"/>
      <c r="EP79" s="262"/>
      <c r="EQ79" s="262"/>
      <c r="ER79" s="262"/>
      <c r="ES79" s="262"/>
      <c r="ET79" s="262"/>
      <c r="EU79" s="262"/>
      <c r="EV79" s="262"/>
      <c r="EW79" s="262"/>
      <c r="EX79" s="262"/>
      <c r="EY79" s="262"/>
      <c r="EZ79" s="262"/>
      <c r="FA79" s="262"/>
      <c r="FB79" s="262"/>
      <c r="FC79" s="262"/>
      <c r="FD79" s="262"/>
      <c r="FE79" s="262"/>
      <c r="FF79" s="262"/>
      <c r="FG79" s="262"/>
      <c r="FH79" s="262"/>
      <c r="FI79" s="262"/>
      <c r="FJ79" s="262"/>
      <c r="FK79" s="262"/>
      <c r="FL79" s="262"/>
      <c r="FM79" s="262"/>
      <c r="FN79" s="262"/>
      <c r="FO79" s="262"/>
      <c r="FP79" s="262"/>
      <c r="FQ79" s="262"/>
      <c r="FR79" s="262"/>
      <c r="FS79" s="262"/>
      <c r="FT79" s="262"/>
      <c r="FU79" s="262"/>
      <c r="FV79" s="262"/>
      <c r="FW79" s="262"/>
      <c r="FX79" s="262"/>
      <c r="FY79" s="262"/>
      <c r="FZ79" s="262"/>
      <c r="GA79" s="262"/>
      <c r="GB79" s="262"/>
      <c r="GC79" s="262"/>
      <c r="GD79" s="262"/>
      <c r="GE79" s="262"/>
      <c r="GF79" s="262"/>
      <c r="GG79" s="262"/>
      <c r="GH79" s="262"/>
      <c r="GI79" s="262"/>
      <c r="GJ79" s="262"/>
      <c r="GK79" s="262"/>
      <c r="GL79" s="262"/>
      <c r="GM79" s="262"/>
      <c r="GN79" s="262"/>
      <c r="GO79" s="262"/>
      <c r="GP79" s="262"/>
      <c r="GQ79" s="262"/>
      <c r="GR79" s="262"/>
      <c r="GS79" s="262"/>
      <c r="GT79" s="262"/>
      <c r="GU79" s="262"/>
      <c r="GV79" s="262"/>
      <c r="GW79" s="262"/>
      <c r="GX79" s="262"/>
      <c r="GY79" s="262"/>
      <c r="GZ79" s="262"/>
      <c r="HA79" s="262"/>
      <c r="HB79" s="262"/>
      <c r="HC79" s="262"/>
      <c r="HD79" s="262"/>
      <c r="HE79" s="262"/>
      <c r="HF79" s="262"/>
      <c r="HG79" s="262"/>
      <c r="HH79" s="262"/>
      <c r="HI79" s="262"/>
      <c r="HJ79" s="262"/>
      <c r="HK79" s="262"/>
      <c r="HL79" s="262"/>
      <c r="HM79" s="262"/>
      <c r="HN79" s="262"/>
      <c r="HO79" s="262"/>
      <c r="HP79" s="262"/>
      <c r="HQ79" s="262"/>
      <c r="HR79" s="262"/>
      <c r="HS79" s="262"/>
      <c r="HT79" s="262"/>
      <c r="HU79" s="262"/>
      <c r="HV79" s="262"/>
      <c r="HW79" s="262"/>
      <c r="HX79" s="262"/>
      <c r="HY79" s="262"/>
      <c r="HZ79" s="262"/>
      <c r="IA79" s="262"/>
      <c r="IB79" s="262"/>
      <c r="IC79" s="262"/>
      <c r="ID79" s="262"/>
      <c r="IE79" s="262"/>
      <c r="IF79" s="262"/>
      <c r="IG79" s="262"/>
      <c r="IH79" s="262"/>
      <c r="II79" s="262"/>
      <c r="IJ79" s="262"/>
      <c r="IK79" s="262"/>
      <c r="IL79" s="262"/>
      <c r="IM79" s="262"/>
      <c r="IN79" s="262"/>
      <c r="IO79" s="262"/>
      <c r="IP79" s="262"/>
      <c r="IQ79" s="262"/>
      <c r="IR79" s="262"/>
      <c r="IS79" s="262"/>
      <c r="IT79" s="262"/>
      <c r="IU79" s="262"/>
      <c r="IV79" s="262"/>
    </row>
    <row r="80" spans="1:256" x14ac:dyDescent="0.25">
      <c r="A80" s="279" t="s">
        <v>785</v>
      </c>
      <c r="B80" s="271" t="s">
        <v>451</v>
      </c>
      <c r="C80" s="277" t="s">
        <v>786</v>
      </c>
      <c r="D80" s="272">
        <v>0</v>
      </c>
      <c r="E80" s="260">
        <f>+INDEX(Sheet1!A:D,MATCH(MapaIII!C80,Sheet1!A:A,0),2)</f>
        <v>1200000</v>
      </c>
      <c r="F80" s="281">
        <f>D80+E80</f>
        <v>1200000</v>
      </c>
      <c r="G80" s="282">
        <f>F80/$F$9</f>
        <v>2.6332815891306669E-3</v>
      </c>
      <c r="H80" s="107">
        <v>1000000</v>
      </c>
      <c r="K80" s="283"/>
      <c r="L80" s="267">
        <v>23</v>
      </c>
      <c r="M80" s="283"/>
      <c r="N80" s="268">
        <f t="shared" si="18"/>
        <v>-200000</v>
      </c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3"/>
      <c r="AN80" s="283"/>
      <c r="AO80" s="283"/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B80" s="283"/>
      <c r="BC80" s="283"/>
      <c r="BD80" s="283"/>
      <c r="BE80" s="283"/>
      <c r="BF80" s="283"/>
      <c r="BG80" s="283"/>
      <c r="BH80" s="283"/>
      <c r="BI80" s="283"/>
      <c r="BJ80" s="283"/>
      <c r="BK80" s="283"/>
      <c r="BL80" s="283"/>
      <c r="BM80" s="283"/>
      <c r="BN80" s="283"/>
      <c r="BO80" s="283"/>
      <c r="BP80" s="283"/>
      <c r="BQ80" s="283"/>
      <c r="BR80" s="283"/>
      <c r="BS80" s="283"/>
      <c r="BT80" s="283"/>
      <c r="BU80" s="283"/>
      <c r="BV80" s="283"/>
      <c r="BW80" s="283"/>
      <c r="BX80" s="283"/>
      <c r="BY80" s="283"/>
      <c r="BZ80" s="283"/>
      <c r="CA80" s="283"/>
      <c r="CB80" s="283"/>
      <c r="CC80" s="283"/>
      <c r="CD80" s="283"/>
      <c r="CE80" s="283"/>
      <c r="CF80" s="283"/>
      <c r="CG80" s="283"/>
      <c r="CH80" s="283"/>
      <c r="CI80" s="283"/>
      <c r="CJ80" s="283"/>
      <c r="CK80" s="283"/>
      <c r="CL80" s="283"/>
      <c r="CM80" s="283"/>
      <c r="CN80" s="283"/>
      <c r="CO80" s="283"/>
      <c r="CP80" s="283"/>
      <c r="CQ80" s="283"/>
      <c r="CR80" s="283"/>
      <c r="CS80" s="283"/>
      <c r="CT80" s="283"/>
      <c r="CU80" s="283"/>
      <c r="CV80" s="283"/>
      <c r="CW80" s="283"/>
      <c r="CX80" s="283"/>
      <c r="CY80" s="283"/>
      <c r="CZ80" s="283"/>
      <c r="DA80" s="283"/>
      <c r="DB80" s="283"/>
      <c r="DC80" s="283"/>
      <c r="DD80" s="283"/>
      <c r="DE80" s="283"/>
      <c r="DF80" s="283"/>
      <c r="DG80" s="283"/>
      <c r="DH80" s="283"/>
      <c r="DI80" s="283"/>
      <c r="DJ80" s="283"/>
      <c r="DK80" s="283"/>
      <c r="DL80" s="283"/>
      <c r="DM80" s="283"/>
      <c r="DN80" s="283"/>
      <c r="DO80" s="283"/>
      <c r="DP80" s="283"/>
      <c r="DQ80" s="283"/>
      <c r="DR80" s="283"/>
      <c r="DS80" s="283"/>
      <c r="DT80" s="283"/>
      <c r="DU80" s="283"/>
      <c r="DV80" s="283"/>
      <c r="DW80" s="283"/>
      <c r="DX80" s="283"/>
      <c r="DY80" s="283"/>
      <c r="DZ80" s="283"/>
      <c r="EA80" s="283"/>
      <c r="EB80" s="283"/>
      <c r="EC80" s="283"/>
      <c r="ED80" s="283"/>
      <c r="EE80" s="283"/>
      <c r="EF80" s="283"/>
      <c r="EG80" s="283"/>
      <c r="EH80" s="283"/>
      <c r="EI80" s="283"/>
      <c r="EJ80" s="283"/>
      <c r="EK80" s="283"/>
      <c r="EL80" s="283"/>
      <c r="EM80" s="283"/>
      <c r="EN80" s="283"/>
      <c r="EO80" s="283"/>
      <c r="EP80" s="283"/>
      <c r="EQ80" s="283"/>
      <c r="ER80" s="283"/>
      <c r="ES80" s="283"/>
      <c r="ET80" s="283"/>
      <c r="EU80" s="283"/>
      <c r="EV80" s="283"/>
      <c r="EW80" s="283"/>
      <c r="EX80" s="283"/>
      <c r="EY80" s="283"/>
      <c r="EZ80" s="283"/>
      <c r="FA80" s="283"/>
      <c r="FB80" s="283"/>
      <c r="FC80" s="283"/>
      <c r="FD80" s="283"/>
      <c r="FE80" s="283"/>
      <c r="FF80" s="283"/>
      <c r="FG80" s="283"/>
      <c r="FH80" s="283"/>
      <c r="FI80" s="283"/>
      <c r="FJ80" s="283"/>
      <c r="FK80" s="283"/>
      <c r="FL80" s="283"/>
      <c r="FM80" s="283"/>
      <c r="FN80" s="283"/>
      <c r="FO80" s="283"/>
      <c r="FP80" s="283"/>
      <c r="FQ80" s="283"/>
      <c r="FR80" s="283"/>
      <c r="FS80" s="283"/>
      <c r="FT80" s="283"/>
      <c r="FU80" s="283"/>
      <c r="FV80" s="283"/>
      <c r="FW80" s="283"/>
      <c r="FX80" s="283"/>
      <c r="FY80" s="283"/>
      <c r="FZ80" s="283"/>
      <c r="GA80" s="283"/>
      <c r="GB80" s="283"/>
      <c r="GC80" s="283"/>
      <c r="GD80" s="283"/>
      <c r="GE80" s="283"/>
      <c r="GF80" s="283"/>
      <c r="GG80" s="283"/>
      <c r="GH80" s="283"/>
      <c r="GI80" s="283"/>
      <c r="GJ80" s="283"/>
      <c r="GK80" s="283"/>
      <c r="GL80" s="283"/>
      <c r="GM80" s="283"/>
      <c r="GN80" s="283"/>
      <c r="GO80" s="283"/>
      <c r="GP80" s="283"/>
      <c r="GQ80" s="283"/>
      <c r="GR80" s="283"/>
      <c r="GS80" s="283"/>
      <c r="GT80" s="283"/>
      <c r="GU80" s="283"/>
      <c r="GV80" s="283"/>
      <c r="GW80" s="283"/>
      <c r="GX80" s="283"/>
      <c r="GY80" s="283"/>
      <c r="GZ80" s="283"/>
      <c r="HA80" s="283"/>
      <c r="HB80" s="283"/>
      <c r="HC80" s="283"/>
      <c r="HD80" s="283"/>
      <c r="HE80" s="283"/>
      <c r="HF80" s="283"/>
      <c r="HG80" s="283"/>
      <c r="HH80" s="283"/>
      <c r="HI80" s="283"/>
      <c r="HJ80" s="283"/>
      <c r="HK80" s="283"/>
      <c r="HL80" s="283"/>
      <c r="HM80" s="283"/>
      <c r="HN80" s="283"/>
      <c r="HO80" s="283"/>
      <c r="HP80" s="283"/>
      <c r="HQ80" s="283"/>
      <c r="HR80" s="283"/>
      <c r="HS80" s="283"/>
      <c r="HT80" s="283"/>
      <c r="HU80" s="283"/>
      <c r="HV80" s="283"/>
      <c r="HW80" s="283"/>
      <c r="HX80" s="283"/>
      <c r="HY80" s="283"/>
      <c r="HZ80" s="283"/>
      <c r="IA80" s="283"/>
      <c r="IB80" s="283"/>
      <c r="IC80" s="283"/>
      <c r="ID80" s="283"/>
      <c r="IE80" s="283"/>
      <c r="IF80" s="283"/>
      <c r="IG80" s="283"/>
      <c r="IH80" s="283"/>
      <c r="II80" s="283"/>
      <c r="IJ80" s="283"/>
      <c r="IK80" s="283"/>
      <c r="IL80" s="283"/>
      <c r="IM80" s="283"/>
      <c r="IN80" s="283"/>
      <c r="IO80" s="283"/>
      <c r="IP80" s="283"/>
      <c r="IQ80" s="283"/>
      <c r="IR80" s="283"/>
      <c r="IS80" s="283"/>
      <c r="IT80" s="283"/>
      <c r="IU80" s="283"/>
      <c r="IV80" s="283"/>
    </row>
    <row r="81" spans="1:256" x14ac:dyDescent="0.25">
      <c r="A81" s="279" t="s">
        <v>785</v>
      </c>
      <c r="B81" s="271" t="s">
        <v>451</v>
      </c>
      <c r="C81" s="277" t="s">
        <v>878</v>
      </c>
      <c r="D81" s="272">
        <v>0</v>
      </c>
      <c r="E81" s="260">
        <f>+INDEX(Sheet1!A:D,MATCH(MapaIII!C81,Sheet1!A:A,0),2)</f>
        <v>2500000</v>
      </c>
      <c r="F81" s="281">
        <f>D81+E81</f>
        <v>2500000</v>
      </c>
      <c r="G81" s="282">
        <f>F81/$F$9</f>
        <v>5.4860033106888893E-3</v>
      </c>
      <c r="H81" s="107">
        <v>2500000</v>
      </c>
      <c r="K81" s="283"/>
      <c r="L81" s="267" t="e">
        <v>#N/A</v>
      </c>
      <c r="M81" s="283"/>
      <c r="N81" s="268">
        <f t="shared" ref="N81" si="23">+H81-E81</f>
        <v>0</v>
      </c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  <c r="AG81" s="283"/>
      <c r="AH81" s="283"/>
      <c r="AI81" s="283"/>
      <c r="AJ81" s="283"/>
      <c r="AK81" s="283"/>
      <c r="AL81" s="283"/>
      <c r="AM81" s="283"/>
      <c r="AN81" s="283"/>
      <c r="AO81" s="283"/>
      <c r="AP81" s="283"/>
      <c r="AQ81" s="283"/>
      <c r="AR81" s="283"/>
      <c r="AS81" s="283"/>
      <c r="AT81" s="283"/>
      <c r="AU81" s="283"/>
      <c r="AV81" s="283"/>
      <c r="AW81" s="283"/>
      <c r="AX81" s="283"/>
      <c r="AY81" s="283"/>
      <c r="AZ81" s="283"/>
      <c r="BA81" s="283"/>
      <c r="BB81" s="283"/>
      <c r="BC81" s="283"/>
      <c r="BD81" s="283"/>
      <c r="BE81" s="283"/>
      <c r="BF81" s="283"/>
      <c r="BG81" s="283"/>
      <c r="BH81" s="283"/>
      <c r="BI81" s="283"/>
      <c r="BJ81" s="283"/>
      <c r="BK81" s="283"/>
      <c r="BL81" s="283"/>
      <c r="BM81" s="283"/>
      <c r="BN81" s="283"/>
      <c r="BO81" s="283"/>
      <c r="BP81" s="283"/>
      <c r="BQ81" s="283"/>
      <c r="BR81" s="283"/>
      <c r="BS81" s="283"/>
      <c r="BT81" s="283"/>
      <c r="BU81" s="283"/>
      <c r="BV81" s="283"/>
      <c r="BW81" s="283"/>
      <c r="BX81" s="283"/>
      <c r="BY81" s="283"/>
      <c r="BZ81" s="283"/>
      <c r="CA81" s="283"/>
      <c r="CB81" s="283"/>
      <c r="CC81" s="283"/>
      <c r="CD81" s="283"/>
      <c r="CE81" s="283"/>
      <c r="CF81" s="283"/>
      <c r="CG81" s="283"/>
      <c r="CH81" s="283"/>
      <c r="CI81" s="283"/>
      <c r="CJ81" s="283"/>
      <c r="CK81" s="283"/>
      <c r="CL81" s="283"/>
      <c r="CM81" s="283"/>
      <c r="CN81" s="283"/>
      <c r="CO81" s="283"/>
      <c r="CP81" s="283"/>
      <c r="CQ81" s="283"/>
      <c r="CR81" s="283"/>
      <c r="CS81" s="283"/>
      <c r="CT81" s="283"/>
      <c r="CU81" s="283"/>
      <c r="CV81" s="283"/>
      <c r="CW81" s="283"/>
      <c r="CX81" s="283"/>
      <c r="CY81" s="283"/>
      <c r="CZ81" s="283"/>
      <c r="DA81" s="283"/>
      <c r="DB81" s="283"/>
      <c r="DC81" s="283"/>
      <c r="DD81" s="283"/>
      <c r="DE81" s="283"/>
      <c r="DF81" s="283"/>
      <c r="DG81" s="283"/>
      <c r="DH81" s="283"/>
      <c r="DI81" s="283"/>
      <c r="DJ81" s="283"/>
      <c r="DK81" s="283"/>
      <c r="DL81" s="283"/>
      <c r="DM81" s="283"/>
      <c r="DN81" s="283"/>
      <c r="DO81" s="283"/>
      <c r="DP81" s="283"/>
      <c r="DQ81" s="283"/>
      <c r="DR81" s="283"/>
      <c r="DS81" s="283"/>
      <c r="DT81" s="283"/>
      <c r="DU81" s="283"/>
      <c r="DV81" s="283"/>
      <c r="DW81" s="283"/>
      <c r="DX81" s="283"/>
      <c r="DY81" s="283"/>
      <c r="DZ81" s="283"/>
      <c r="EA81" s="283"/>
      <c r="EB81" s="283"/>
      <c r="EC81" s="283"/>
      <c r="ED81" s="283"/>
      <c r="EE81" s="283"/>
      <c r="EF81" s="283"/>
      <c r="EG81" s="283"/>
      <c r="EH81" s="283"/>
      <c r="EI81" s="283"/>
      <c r="EJ81" s="283"/>
      <c r="EK81" s="283"/>
      <c r="EL81" s="283"/>
      <c r="EM81" s="283"/>
      <c r="EN81" s="283"/>
      <c r="EO81" s="283"/>
      <c r="EP81" s="283"/>
      <c r="EQ81" s="283"/>
      <c r="ER81" s="283"/>
      <c r="ES81" s="283"/>
      <c r="ET81" s="283"/>
      <c r="EU81" s="283"/>
      <c r="EV81" s="283"/>
      <c r="EW81" s="283"/>
      <c r="EX81" s="283"/>
      <c r="EY81" s="283"/>
      <c r="EZ81" s="283"/>
      <c r="FA81" s="283"/>
      <c r="FB81" s="283"/>
      <c r="FC81" s="283"/>
      <c r="FD81" s="283"/>
      <c r="FE81" s="283"/>
      <c r="FF81" s="283"/>
      <c r="FG81" s="283"/>
      <c r="FH81" s="283"/>
      <c r="FI81" s="283"/>
      <c r="FJ81" s="283"/>
      <c r="FK81" s="283"/>
      <c r="FL81" s="283"/>
      <c r="FM81" s="283"/>
      <c r="FN81" s="283"/>
      <c r="FO81" s="283"/>
      <c r="FP81" s="283"/>
      <c r="FQ81" s="283"/>
      <c r="FR81" s="283"/>
      <c r="FS81" s="283"/>
      <c r="FT81" s="283"/>
      <c r="FU81" s="283"/>
      <c r="FV81" s="283"/>
      <c r="FW81" s="283"/>
      <c r="FX81" s="283"/>
      <c r="FY81" s="283"/>
      <c r="FZ81" s="283"/>
      <c r="GA81" s="283"/>
      <c r="GB81" s="283"/>
      <c r="GC81" s="283"/>
      <c r="GD81" s="283"/>
      <c r="GE81" s="283"/>
      <c r="GF81" s="283"/>
      <c r="GG81" s="283"/>
      <c r="GH81" s="283"/>
      <c r="GI81" s="283"/>
      <c r="GJ81" s="283"/>
      <c r="GK81" s="283"/>
      <c r="GL81" s="283"/>
      <c r="GM81" s="283"/>
      <c r="GN81" s="283"/>
      <c r="GO81" s="283"/>
      <c r="GP81" s="283"/>
      <c r="GQ81" s="283"/>
      <c r="GR81" s="283"/>
      <c r="GS81" s="283"/>
      <c r="GT81" s="283"/>
      <c r="GU81" s="283"/>
      <c r="GV81" s="283"/>
      <c r="GW81" s="283"/>
      <c r="GX81" s="283"/>
      <c r="GY81" s="283"/>
      <c r="GZ81" s="283"/>
      <c r="HA81" s="283"/>
      <c r="HB81" s="283"/>
      <c r="HC81" s="283"/>
      <c r="HD81" s="283"/>
      <c r="HE81" s="283"/>
      <c r="HF81" s="283"/>
      <c r="HG81" s="283"/>
      <c r="HH81" s="283"/>
      <c r="HI81" s="283"/>
      <c r="HJ81" s="283"/>
      <c r="HK81" s="283"/>
      <c r="HL81" s="283"/>
      <c r="HM81" s="283"/>
      <c r="HN81" s="283"/>
      <c r="HO81" s="283"/>
      <c r="HP81" s="283"/>
      <c r="HQ81" s="283"/>
      <c r="HR81" s="283"/>
      <c r="HS81" s="283"/>
      <c r="HT81" s="283"/>
      <c r="HU81" s="283"/>
      <c r="HV81" s="283"/>
      <c r="HW81" s="283"/>
      <c r="HX81" s="283"/>
      <c r="HY81" s="283"/>
      <c r="HZ81" s="283"/>
      <c r="IA81" s="283"/>
      <c r="IB81" s="283"/>
      <c r="IC81" s="283"/>
      <c r="ID81" s="283"/>
      <c r="IE81" s="283"/>
      <c r="IF81" s="283"/>
      <c r="IG81" s="283"/>
      <c r="IH81" s="283"/>
      <c r="II81" s="283"/>
      <c r="IJ81" s="283"/>
      <c r="IK81" s="283"/>
      <c r="IL81" s="283"/>
      <c r="IM81" s="283"/>
      <c r="IN81" s="283"/>
      <c r="IO81" s="283"/>
      <c r="IP81" s="283"/>
      <c r="IQ81" s="283"/>
      <c r="IR81" s="283"/>
      <c r="IS81" s="283"/>
      <c r="IT81" s="283"/>
      <c r="IU81" s="283"/>
      <c r="IV81" s="283"/>
    </row>
    <row r="82" spans="1:256" x14ac:dyDescent="0.25">
      <c r="A82" s="279" t="s">
        <v>784</v>
      </c>
      <c r="B82" s="271" t="s">
        <v>471</v>
      </c>
      <c r="C82" s="277" t="s">
        <v>787</v>
      </c>
      <c r="D82" s="272">
        <v>0</v>
      </c>
      <c r="E82" s="260">
        <f>+INDEX(Sheet1!A:D,MATCH(MapaIII!C82,Sheet1!A:A,0),2)</f>
        <v>13000000</v>
      </c>
      <c r="F82" s="281">
        <f>D82+E82</f>
        <v>13000000</v>
      </c>
      <c r="G82" s="282">
        <f>F82/$F$9</f>
        <v>2.8527217215582223E-2</v>
      </c>
      <c r="H82" s="107">
        <v>13000000</v>
      </c>
      <c r="K82" s="283"/>
      <c r="L82" s="267">
        <v>55</v>
      </c>
      <c r="M82" s="283"/>
      <c r="N82" s="268">
        <f t="shared" si="18"/>
        <v>0</v>
      </c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83"/>
      <c r="AG82" s="283"/>
      <c r="AH82" s="283"/>
      <c r="AI82" s="283"/>
      <c r="AJ82" s="283"/>
      <c r="AK82" s="283"/>
      <c r="AL82" s="283"/>
      <c r="AM82" s="283"/>
      <c r="AN82" s="283"/>
      <c r="AO82" s="283"/>
      <c r="AP82" s="283"/>
      <c r="AQ82" s="283"/>
      <c r="AR82" s="283"/>
      <c r="AS82" s="283"/>
      <c r="AT82" s="283"/>
      <c r="AU82" s="283"/>
      <c r="AV82" s="283"/>
      <c r="AW82" s="283"/>
      <c r="AX82" s="283"/>
      <c r="AY82" s="283"/>
      <c r="AZ82" s="283"/>
      <c r="BA82" s="283"/>
      <c r="BB82" s="283"/>
      <c r="BC82" s="283"/>
      <c r="BD82" s="283"/>
      <c r="BE82" s="283"/>
      <c r="BF82" s="283"/>
      <c r="BG82" s="283"/>
      <c r="BH82" s="283"/>
      <c r="BI82" s="283"/>
      <c r="BJ82" s="283"/>
      <c r="BK82" s="283"/>
      <c r="BL82" s="283"/>
      <c r="BM82" s="283"/>
      <c r="BN82" s="283"/>
      <c r="BO82" s="283"/>
      <c r="BP82" s="283"/>
      <c r="BQ82" s="283"/>
      <c r="BR82" s="283"/>
      <c r="BS82" s="283"/>
      <c r="BT82" s="283"/>
      <c r="BU82" s="283"/>
      <c r="BV82" s="283"/>
      <c r="BW82" s="283"/>
      <c r="BX82" s="283"/>
      <c r="BY82" s="283"/>
      <c r="BZ82" s="283"/>
      <c r="CA82" s="283"/>
      <c r="CB82" s="283"/>
      <c r="CC82" s="283"/>
      <c r="CD82" s="283"/>
      <c r="CE82" s="283"/>
      <c r="CF82" s="283"/>
      <c r="CG82" s="283"/>
      <c r="CH82" s="283"/>
      <c r="CI82" s="283"/>
      <c r="CJ82" s="283"/>
      <c r="CK82" s="283"/>
      <c r="CL82" s="283"/>
      <c r="CM82" s="283"/>
      <c r="CN82" s="283"/>
      <c r="CO82" s="283"/>
      <c r="CP82" s="283"/>
      <c r="CQ82" s="283"/>
      <c r="CR82" s="283"/>
      <c r="CS82" s="283"/>
      <c r="CT82" s="283"/>
      <c r="CU82" s="283"/>
      <c r="CV82" s="283"/>
      <c r="CW82" s="283"/>
      <c r="CX82" s="283"/>
      <c r="CY82" s="283"/>
      <c r="CZ82" s="283"/>
      <c r="DA82" s="283"/>
      <c r="DB82" s="283"/>
      <c r="DC82" s="283"/>
      <c r="DD82" s="283"/>
      <c r="DE82" s="283"/>
      <c r="DF82" s="283"/>
      <c r="DG82" s="283"/>
      <c r="DH82" s="283"/>
      <c r="DI82" s="283"/>
      <c r="DJ82" s="283"/>
      <c r="DK82" s="283"/>
      <c r="DL82" s="283"/>
      <c r="DM82" s="283"/>
      <c r="DN82" s="283"/>
      <c r="DO82" s="283"/>
      <c r="DP82" s="283"/>
      <c r="DQ82" s="283"/>
      <c r="DR82" s="283"/>
      <c r="DS82" s="283"/>
      <c r="DT82" s="283"/>
      <c r="DU82" s="283"/>
      <c r="DV82" s="283"/>
      <c r="DW82" s="283"/>
      <c r="DX82" s="283"/>
      <c r="DY82" s="283"/>
      <c r="DZ82" s="283"/>
      <c r="EA82" s="283"/>
      <c r="EB82" s="283"/>
      <c r="EC82" s="283"/>
      <c r="ED82" s="283"/>
      <c r="EE82" s="283"/>
      <c r="EF82" s="283"/>
      <c r="EG82" s="283"/>
      <c r="EH82" s="283"/>
      <c r="EI82" s="283"/>
      <c r="EJ82" s="283"/>
      <c r="EK82" s="283"/>
      <c r="EL82" s="283"/>
      <c r="EM82" s="283"/>
      <c r="EN82" s="283"/>
      <c r="EO82" s="283"/>
      <c r="EP82" s="283"/>
      <c r="EQ82" s="283"/>
      <c r="ER82" s="283"/>
      <c r="ES82" s="283"/>
      <c r="ET82" s="283"/>
      <c r="EU82" s="283"/>
      <c r="EV82" s="283"/>
      <c r="EW82" s="283"/>
      <c r="EX82" s="283"/>
      <c r="EY82" s="283"/>
      <c r="EZ82" s="283"/>
      <c r="FA82" s="283"/>
      <c r="FB82" s="283"/>
      <c r="FC82" s="283"/>
      <c r="FD82" s="283"/>
      <c r="FE82" s="283"/>
      <c r="FF82" s="283"/>
      <c r="FG82" s="283"/>
      <c r="FH82" s="283"/>
      <c r="FI82" s="283"/>
      <c r="FJ82" s="283"/>
      <c r="FK82" s="283"/>
      <c r="FL82" s="283"/>
      <c r="FM82" s="283"/>
      <c r="FN82" s="283"/>
      <c r="FO82" s="283"/>
      <c r="FP82" s="283"/>
      <c r="FQ82" s="283"/>
      <c r="FR82" s="283"/>
      <c r="FS82" s="283"/>
      <c r="FT82" s="283"/>
      <c r="FU82" s="283"/>
      <c r="FV82" s="283"/>
      <c r="FW82" s="283"/>
      <c r="FX82" s="283"/>
      <c r="FY82" s="283"/>
      <c r="FZ82" s="283"/>
      <c r="GA82" s="283"/>
      <c r="GB82" s="283"/>
      <c r="GC82" s="283"/>
      <c r="GD82" s="283"/>
      <c r="GE82" s="283"/>
      <c r="GF82" s="283"/>
      <c r="GG82" s="283"/>
      <c r="GH82" s="283"/>
      <c r="GI82" s="283"/>
      <c r="GJ82" s="283"/>
      <c r="GK82" s="283"/>
      <c r="GL82" s="283"/>
      <c r="GM82" s="283"/>
      <c r="GN82" s="283"/>
      <c r="GO82" s="283"/>
      <c r="GP82" s="283"/>
      <c r="GQ82" s="283"/>
      <c r="GR82" s="283"/>
      <c r="GS82" s="283"/>
      <c r="GT82" s="283"/>
      <c r="GU82" s="283"/>
      <c r="GV82" s="283"/>
      <c r="GW82" s="283"/>
      <c r="GX82" s="283"/>
      <c r="GY82" s="283"/>
      <c r="GZ82" s="283"/>
      <c r="HA82" s="283"/>
      <c r="HB82" s="283"/>
      <c r="HC82" s="283"/>
      <c r="HD82" s="283"/>
      <c r="HE82" s="283"/>
      <c r="HF82" s="283"/>
      <c r="HG82" s="283"/>
      <c r="HH82" s="283"/>
      <c r="HI82" s="283"/>
      <c r="HJ82" s="283"/>
      <c r="HK82" s="283"/>
      <c r="HL82" s="283"/>
      <c r="HM82" s="283"/>
      <c r="HN82" s="283"/>
      <c r="HO82" s="283"/>
      <c r="HP82" s="283"/>
      <c r="HQ82" s="283"/>
      <c r="HR82" s="283"/>
      <c r="HS82" s="283"/>
      <c r="HT82" s="283"/>
      <c r="HU82" s="283"/>
      <c r="HV82" s="283"/>
      <c r="HW82" s="283"/>
      <c r="HX82" s="283"/>
      <c r="HY82" s="283"/>
      <c r="HZ82" s="283"/>
      <c r="IA82" s="283"/>
      <c r="IB82" s="283"/>
      <c r="IC82" s="283"/>
      <c r="ID82" s="283"/>
      <c r="IE82" s="283"/>
      <c r="IF82" s="283"/>
      <c r="IG82" s="283"/>
      <c r="IH82" s="283"/>
      <c r="II82" s="283"/>
      <c r="IJ82" s="283"/>
      <c r="IK82" s="283"/>
      <c r="IL82" s="283"/>
      <c r="IM82" s="283"/>
      <c r="IN82" s="283"/>
      <c r="IO82" s="283"/>
      <c r="IP82" s="283"/>
      <c r="IQ82" s="283"/>
      <c r="IR82" s="283"/>
      <c r="IS82" s="283"/>
      <c r="IT82" s="283"/>
      <c r="IU82" s="283"/>
      <c r="IV82" s="283"/>
    </row>
    <row r="83" spans="1:256" ht="15.75" x14ac:dyDescent="0.2">
      <c r="A83" s="287" t="s">
        <v>703</v>
      </c>
      <c r="B83" s="287"/>
      <c r="C83" s="287"/>
      <c r="D83" s="288">
        <f>D79+D74+D72+D70+D39+D32+D22+D19+D10</f>
        <v>184050157</v>
      </c>
      <c r="E83" s="289">
        <f>+E79+E74+E72+E70+E39+E32+E22+E19+E10</f>
        <v>271655000</v>
      </c>
      <c r="F83" s="289">
        <f>D83+E83</f>
        <v>455705157</v>
      </c>
      <c r="G83" s="290">
        <f>F83/F83</f>
        <v>1</v>
      </c>
      <c r="H83" s="267">
        <v>0</v>
      </c>
      <c r="L83" s="267">
        <v>84</v>
      </c>
      <c r="N83" s="268">
        <f t="shared" si="18"/>
        <v>-271655000</v>
      </c>
    </row>
    <row r="84" spans="1:256" x14ac:dyDescent="0.25">
      <c r="A84" s="291"/>
      <c r="B84" s="292"/>
      <c r="C84" s="291"/>
      <c r="D84" s="293"/>
      <c r="E84" s="293"/>
      <c r="F84" s="293"/>
      <c r="G84" s="294"/>
      <c r="H84" s="267"/>
      <c r="K84" s="267"/>
      <c r="L84" s="267">
        <v>84</v>
      </c>
      <c r="M84" s="267"/>
      <c r="N84" s="268">
        <f t="shared" si="18"/>
        <v>0</v>
      </c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7"/>
      <c r="AT84" s="267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7"/>
      <c r="BI84" s="267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7"/>
      <c r="BX84" s="267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7"/>
      <c r="CM84" s="267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7"/>
      <c r="DB84" s="267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7"/>
      <c r="DQ84" s="267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7"/>
      <c r="EF84" s="267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7"/>
      <c r="EU84" s="267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7"/>
      <c r="FJ84" s="267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7"/>
      <c r="FY84" s="267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7"/>
      <c r="GN84" s="267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7"/>
      <c r="HC84" s="267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7"/>
      <c r="HR84" s="267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7"/>
      <c r="IG84" s="267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7"/>
      <c r="IV84" s="267"/>
    </row>
    <row r="85" spans="1:256" x14ac:dyDescent="0.2">
      <c r="A85" s="89" t="s">
        <v>788</v>
      </c>
      <c r="B85" s="89"/>
      <c r="C85" s="89"/>
      <c r="D85" s="89"/>
      <c r="E85" s="89"/>
      <c r="F85" s="89"/>
      <c r="G85" s="89"/>
      <c r="L85" s="267">
        <v>84</v>
      </c>
    </row>
    <row r="86" spans="1:256" x14ac:dyDescent="0.2">
      <c r="A86" s="89"/>
      <c r="B86" s="295"/>
      <c r="C86" s="89"/>
      <c r="D86" s="296"/>
      <c r="E86" s="296"/>
      <c r="F86" s="296"/>
      <c r="G86" s="208"/>
      <c r="H86" s="227"/>
      <c r="L86" s="267">
        <v>84</v>
      </c>
    </row>
    <row r="87" spans="1:256" x14ac:dyDescent="0.25">
      <c r="A87" s="91" t="s">
        <v>377</v>
      </c>
      <c r="B87" s="91"/>
      <c r="C87" s="91"/>
      <c r="D87" s="91"/>
      <c r="E87" s="91"/>
      <c r="F87" s="91"/>
      <c r="G87" s="91"/>
      <c r="L87" s="267">
        <v>84</v>
      </c>
    </row>
    <row r="88" spans="1:256" x14ac:dyDescent="0.25">
      <c r="A88" s="297"/>
      <c r="B88" s="298"/>
      <c r="C88" s="297"/>
      <c r="D88" s="299"/>
      <c r="E88" s="299"/>
      <c r="F88" s="299"/>
      <c r="G88" s="297"/>
      <c r="L88" s="267">
        <v>84</v>
      </c>
    </row>
    <row r="89" spans="1:256" x14ac:dyDescent="0.25">
      <c r="A89" s="211" t="s">
        <v>378</v>
      </c>
      <c r="B89" s="211"/>
      <c r="C89" s="211"/>
      <c r="D89" s="211"/>
      <c r="E89" s="211"/>
      <c r="F89" s="211"/>
      <c r="G89" s="211"/>
      <c r="H89" s="227"/>
      <c r="L89" s="267">
        <v>84</v>
      </c>
    </row>
    <row r="90" spans="1:256" x14ac:dyDescent="0.2">
      <c r="A90" s="212" t="s">
        <v>379</v>
      </c>
      <c r="B90" s="212"/>
      <c r="C90" s="212"/>
      <c r="D90" s="212"/>
      <c r="E90" s="212"/>
      <c r="F90" s="212"/>
      <c r="G90" s="212"/>
      <c r="L90" s="267">
        <v>84</v>
      </c>
    </row>
    <row r="91" spans="1:256" ht="15.75" x14ac:dyDescent="0.2">
      <c r="A91" s="300"/>
      <c r="B91" s="301"/>
      <c r="C91" s="300"/>
      <c r="D91" s="302"/>
      <c r="E91" s="302"/>
      <c r="F91" s="302"/>
      <c r="G91" s="303"/>
      <c r="L91" s="267">
        <v>84</v>
      </c>
    </row>
    <row r="92" spans="1:256" x14ac:dyDescent="0.25">
      <c r="L92" s="267">
        <v>84</v>
      </c>
    </row>
    <row r="93" spans="1:256" x14ac:dyDescent="0.25">
      <c r="L93" s="267">
        <v>84</v>
      </c>
    </row>
    <row r="94" spans="1:256" x14ac:dyDescent="0.25">
      <c r="L94" s="267">
        <v>84</v>
      </c>
    </row>
    <row r="95" spans="1:256" x14ac:dyDescent="0.25">
      <c r="L95" s="267">
        <v>84</v>
      </c>
    </row>
    <row r="96" spans="1:256" x14ac:dyDescent="0.25">
      <c r="L96" s="267">
        <v>84</v>
      </c>
    </row>
    <row r="97" spans="12:12" x14ac:dyDescent="0.25">
      <c r="L97" s="267">
        <v>84</v>
      </c>
    </row>
    <row r="98" spans="12:12" x14ac:dyDescent="0.25">
      <c r="L98" s="267">
        <v>84</v>
      </c>
    </row>
    <row r="99" spans="12:12" x14ac:dyDescent="0.25">
      <c r="L99" s="267">
        <v>84</v>
      </c>
    </row>
    <row r="100" spans="12:12" x14ac:dyDescent="0.25">
      <c r="L100" s="267">
        <v>84</v>
      </c>
    </row>
    <row r="101" spans="12:12" x14ac:dyDescent="0.25">
      <c r="L101" s="267">
        <v>84</v>
      </c>
    </row>
    <row r="102" spans="12:12" x14ac:dyDescent="0.25">
      <c r="L102" s="267">
        <v>84</v>
      </c>
    </row>
    <row r="103" spans="12:12" x14ac:dyDescent="0.25">
      <c r="L103" s="267">
        <v>84</v>
      </c>
    </row>
    <row r="104" spans="12:12" x14ac:dyDescent="0.25">
      <c r="L104" s="267">
        <v>84</v>
      </c>
    </row>
    <row r="105" spans="12:12" x14ac:dyDescent="0.25">
      <c r="L105" s="267">
        <v>84</v>
      </c>
    </row>
    <row r="106" spans="12:12" x14ac:dyDescent="0.25">
      <c r="L106" s="267">
        <v>84</v>
      </c>
    </row>
    <row r="107" spans="12:12" x14ac:dyDescent="0.25">
      <c r="L107" s="267">
        <v>84</v>
      </c>
    </row>
    <row r="133" spans="7:7" x14ac:dyDescent="0.25">
      <c r="G133" s="307"/>
    </row>
    <row r="134" spans="7:7" x14ac:dyDescent="0.25">
      <c r="G134" s="307"/>
    </row>
    <row r="135" spans="7:7" x14ac:dyDescent="0.25">
      <c r="G135" s="307"/>
    </row>
    <row r="136" spans="7:7" x14ac:dyDescent="0.25">
      <c r="G136" s="307"/>
    </row>
    <row r="137" spans="7:7" x14ac:dyDescent="0.25">
      <c r="G137" s="307"/>
    </row>
    <row r="138" spans="7:7" x14ac:dyDescent="0.25">
      <c r="G138" s="307"/>
    </row>
    <row r="139" spans="7:7" x14ac:dyDescent="0.25">
      <c r="G139" s="307"/>
    </row>
    <row r="140" spans="7:7" x14ac:dyDescent="0.25">
      <c r="G140" s="307"/>
    </row>
  </sheetData>
  <autoFilter ref="A10:G83"/>
  <printOptions horizontalCentered="1"/>
  <pageMargins left="0" right="0" top="0.55118110236220474" bottom="0.74803149606299213" header="0.31496062992125984" footer="0.31496062992125984"/>
  <pageSetup paperSize="9" scale="90" orientation="landscape" r:id="rId1"/>
  <rowBreaks count="1" manualBreakCount="1">
    <brk id="91" max="16383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AH148"/>
  <sheetViews>
    <sheetView workbookViewId="0">
      <selection sqref="A1:L46"/>
    </sheetView>
  </sheetViews>
  <sheetFormatPr defaultRowHeight="14.25" customHeight="1" x14ac:dyDescent="0.25"/>
  <cols>
    <col min="1" max="1" width="1.42578125" style="365" customWidth="1"/>
    <col min="2" max="2" width="2.28515625" style="365" customWidth="1"/>
    <col min="3" max="3" width="24.7109375" style="365" customWidth="1"/>
    <col min="4" max="4" width="19.28515625" style="365" bestFit="1" customWidth="1"/>
    <col min="5" max="5" width="10.42578125" style="337" customWidth="1"/>
    <col min="6" max="6" width="1.28515625" style="337" customWidth="1"/>
    <col min="7" max="7" width="1.5703125" style="339" customWidth="1"/>
    <col min="8" max="8" width="56" style="339" customWidth="1"/>
    <col min="9" max="9" width="19.28515625" style="370" bestFit="1" customWidth="1"/>
    <col min="10" max="10" width="9.42578125" style="370" bestFit="1" customWidth="1"/>
    <col min="11" max="11" width="2.85546875" style="16" customWidth="1"/>
    <col min="12" max="12" width="1.7109375" style="16" customWidth="1"/>
    <col min="13" max="13" width="49.42578125" style="151" bestFit="1" customWidth="1"/>
    <col min="14" max="14" width="10" style="132" bestFit="1" customWidth="1"/>
    <col min="15" max="16384" width="9.140625" style="132"/>
  </cols>
  <sheetData>
    <row r="2" spans="1:34" ht="14.25" customHeight="1" x14ac:dyDescent="0.25">
      <c r="A2" s="4"/>
      <c r="B2" s="4"/>
      <c r="C2" s="4"/>
      <c r="D2" s="4"/>
      <c r="G2" s="16"/>
      <c r="H2" s="16"/>
      <c r="I2" s="338"/>
      <c r="J2" s="338"/>
    </row>
    <row r="3" spans="1:34" ht="14.25" customHeight="1" x14ac:dyDescent="0.25">
      <c r="A3" s="4"/>
      <c r="B3" s="4"/>
      <c r="C3" s="4"/>
      <c r="D3" s="4"/>
      <c r="G3" s="16"/>
      <c r="H3" s="16"/>
      <c r="I3" s="338"/>
      <c r="J3" s="338"/>
    </row>
    <row r="4" spans="1:34" ht="14.25" customHeight="1" x14ac:dyDescent="0.25">
      <c r="A4" s="4"/>
      <c r="B4" s="4"/>
      <c r="C4" s="4"/>
      <c r="D4" s="4"/>
      <c r="G4" s="16"/>
      <c r="H4" s="16"/>
      <c r="I4" s="338"/>
      <c r="J4" s="338"/>
    </row>
    <row r="5" spans="1:34" ht="18.75" customHeight="1" x14ac:dyDescent="0.25">
      <c r="A5" s="4"/>
      <c r="B5" s="4"/>
      <c r="C5" s="680" t="s">
        <v>789</v>
      </c>
      <c r="D5" s="680"/>
      <c r="E5" s="680"/>
      <c r="F5" s="680"/>
      <c r="G5" s="680"/>
      <c r="H5" s="680"/>
      <c r="I5" s="680"/>
      <c r="J5" s="680"/>
      <c r="K5" s="680"/>
      <c r="L5" s="680"/>
      <c r="M5" s="151">
        <v>38854354</v>
      </c>
      <c r="N5" s="132">
        <v>2282388</v>
      </c>
      <c r="O5" s="132">
        <v>4630000</v>
      </c>
      <c r="P5" s="132">
        <v>19702724</v>
      </c>
      <c r="Q5" s="132">
        <v>3279144</v>
      </c>
      <c r="R5" s="132">
        <v>5306080</v>
      </c>
      <c r="S5" s="132">
        <v>5647600</v>
      </c>
      <c r="T5" s="132">
        <v>32600084</v>
      </c>
      <c r="U5" s="132">
        <v>33150620</v>
      </c>
      <c r="V5" s="132">
        <v>22083468</v>
      </c>
      <c r="W5" s="132">
        <v>27397404</v>
      </c>
      <c r="X5" s="132">
        <v>2726256</v>
      </c>
      <c r="Y5" s="132">
        <v>1261944</v>
      </c>
      <c r="Z5" s="132">
        <v>25000</v>
      </c>
      <c r="AA5" s="132">
        <v>1155632</v>
      </c>
      <c r="AB5" s="132">
        <v>8101920</v>
      </c>
      <c r="AC5" s="132">
        <v>1431944</v>
      </c>
      <c r="AD5" s="132">
        <v>1008752</v>
      </c>
      <c r="AE5" s="132">
        <v>60000</v>
      </c>
      <c r="AF5" s="132">
        <v>169621452</v>
      </c>
      <c r="AG5" s="132">
        <v>10737424</v>
      </c>
      <c r="AH5" s="132">
        <v>480416540</v>
      </c>
    </row>
    <row r="6" spans="1:34" ht="21" customHeight="1" x14ac:dyDescent="0.25">
      <c r="A6" s="4"/>
      <c r="B6" s="4"/>
      <c r="C6" s="681" t="s">
        <v>1129</v>
      </c>
      <c r="D6" s="681"/>
      <c r="E6" s="681"/>
      <c r="F6" s="681"/>
      <c r="G6" s="681"/>
      <c r="H6" s="681"/>
      <c r="I6" s="681"/>
      <c r="J6" s="681"/>
      <c r="K6" s="681"/>
      <c r="L6" s="681"/>
    </row>
    <row r="7" spans="1:34" ht="9.75" customHeight="1" x14ac:dyDescent="0.25">
      <c r="A7" s="4"/>
      <c r="B7" s="4"/>
      <c r="C7" s="682" t="s">
        <v>816</v>
      </c>
      <c r="D7" s="682"/>
      <c r="E7" s="682"/>
      <c r="F7" s="682"/>
      <c r="G7" s="682"/>
      <c r="H7" s="682"/>
      <c r="I7" s="682"/>
      <c r="J7" s="682"/>
      <c r="K7" s="340"/>
      <c r="L7" s="340"/>
    </row>
    <row r="8" spans="1:34" ht="14.25" customHeight="1" x14ac:dyDescent="0.25">
      <c r="A8" s="4"/>
      <c r="B8" s="4"/>
      <c r="C8" s="682"/>
      <c r="D8" s="682"/>
      <c r="E8" s="682"/>
      <c r="F8" s="682"/>
      <c r="G8" s="682"/>
      <c r="H8" s="682"/>
      <c r="I8" s="682"/>
      <c r="J8" s="682"/>
    </row>
    <row r="9" spans="1:34" ht="12" customHeight="1" thickBot="1" x14ac:dyDescent="0.3">
      <c r="A9" s="4"/>
      <c r="B9" s="4"/>
      <c r="C9" s="4"/>
      <c r="D9" s="4"/>
      <c r="G9" s="16"/>
      <c r="H9" s="88"/>
      <c r="I9" s="341"/>
      <c r="J9" s="341"/>
      <c r="L9" s="88"/>
    </row>
    <row r="10" spans="1:34" ht="17.25" customHeight="1" thickTop="1" thickBot="1" x14ac:dyDescent="0.3">
      <c r="A10" s="4"/>
      <c r="B10" s="4"/>
      <c r="C10" s="342" t="s">
        <v>817</v>
      </c>
      <c r="D10" s="343" t="s">
        <v>818</v>
      </c>
      <c r="E10" s="343" t="s">
        <v>819</v>
      </c>
      <c r="F10" s="344"/>
      <c r="G10" s="344"/>
      <c r="H10" s="342" t="s">
        <v>820</v>
      </c>
      <c r="I10" s="345" t="s">
        <v>818</v>
      </c>
      <c r="J10" s="343" t="s">
        <v>819</v>
      </c>
      <c r="L10" s="88"/>
    </row>
    <row r="11" spans="1:34" ht="19.5" customHeight="1" thickTop="1" x14ac:dyDescent="0.25">
      <c r="A11" s="104"/>
      <c r="B11" s="104"/>
      <c r="C11" s="346"/>
      <c r="D11" s="347">
        <v>2022</v>
      </c>
      <c r="E11" s="348" t="s">
        <v>821</v>
      </c>
      <c r="F11" s="349"/>
      <c r="G11" s="349"/>
      <c r="H11" s="350"/>
      <c r="I11" s="347">
        <v>2022</v>
      </c>
      <c r="J11" s="351" t="s">
        <v>821</v>
      </c>
      <c r="L11" s="88"/>
      <c r="M11" s="641" t="s">
        <v>1037</v>
      </c>
      <c r="N11"/>
      <c r="O11"/>
    </row>
    <row r="12" spans="1:34" ht="14.25" customHeight="1" x14ac:dyDescent="0.25">
      <c r="A12" s="132"/>
      <c r="B12" s="132"/>
      <c r="C12" s="352" t="s">
        <v>14</v>
      </c>
      <c r="D12" s="353">
        <v>18375000</v>
      </c>
      <c r="E12" s="354">
        <f>D12/$D$37</f>
        <v>4.2098658760100952E-2</v>
      </c>
      <c r="F12" s="346"/>
      <c r="G12" s="346"/>
      <c r="H12" s="355" t="s">
        <v>399</v>
      </c>
      <c r="I12" s="356">
        <f>+MapaII!C9</f>
        <v>3475280</v>
      </c>
      <c r="J12" s="354">
        <f>+I12/$I$37</f>
        <v>7.6261590342283532E-3</v>
      </c>
      <c r="L12" s="341"/>
      <c r="M12" s="641" t="s">
        <v>428</v>
      </c>
      <c r="N12" t="s">
        <v>429</v>
      </c>
      <c r="O12"/>
    </row>
    <row r="13" spans="1:34" ht="14.25" customHeight="1" x14ac:dyDescent="0.25">
      <c r="A13" s="132"/>
      <c r="B13" s="132"/>
      <c r="C13" s="352" t="s">
        <v>822</v>
      </c>
      <c r="D13" s="356">
        <v>0</v>
      </c>
      <c r="E13" s="354">
        <f>D13/$D$37</f>
        <v>0</v>
      </c>
      <c r="F13" s="346"/>
      <c r="G13" s="346"/>
      <c r="H13" s="355" t="s">
        <v>400</v>
      </c>
      <c r="I13" s="356">
        <f>+MapaII!D9</f>
        <v>10645444</v>
      </c>
      <c r="J13" s="354">
        <f t="shared" ref="J13:J36" si="0">+I13/$I$37</f>
        <v>2.336037641110127E-2</v>
      </c>
      <c r="L13" s="341"/>
      <c r="M13" s="632" t="s">
        <v>412</v>
      </c>
      <c r="N13" s="638">
        <v>1200000</v>
      </c>
      <c r="O13"/>
    </row>
    <row r="14" spans="1:34" ht="14.25" customHeight="1" x14ac:dyDescent="0.25">
      <c r="A14" s="132"/>
      <c r="B14" s="132"/>
      <c r="C14" s="352" t="s">
        <v>576</v>
      </c>
      <c r="D14" s="353">
        <v>308425108</v>
      </c>
      <c r="E14" s="354">
        <f>D14/$D$37</f>
        <v>0.706627666652478</v>
      </c>
      <c r="F14" s="349"/>
      <c r="G14" s="349"/>
      <c r="H14" s="355" t="s">
        <v>401</v>
      </c>
      <c r="I14" s="356">
        <f>+MapaII!E9</f>
        <v>56843915</v>
      </c>
      <c r="J14" s="354">
        <f t="shared" si="0"/>
        <v>0.12473836235300713</v>
      </c>
      <c r="L14" s="341"/>
      <c r="M14" s="632" t="s">
        <v>406</v>
      </c>
      <c r="N14" s="638">
        <v>1000000</v>
      </c>
      <c r="O14"/>
    </row>
    <row r="15" spans="1:34" ht="14.25" customHeight="1" x14ac:dyDescent="0.25">
      <c r="A15" s="132"/>
      <c r="B15" s="132"/>
      <c r="C15" s="352" t="s">
        <v>823</v>
      </c>
      <c r="D15" s="356">
        <v>35241264</v>
      </c>
      <c r="E15" s="354">
        <f>D15/$D$37</f>
        <v>8.0740677410102338E-2</v>
      </c>
      <c r="F15" s="349"/>
      <c r="G15" s="349"/>
      <c r="H15" s="355" t="s">
        <v>402</v>
      </c>
      <c r="I15" s="356">
        <f>+MapaII!F9-GETPIVOTDATA("valor",$M$11,"cc","Dir.Ambiente e Saneamento ")</f>
        <v>17604354</v>
      </c>
      <c r="J15" s="354">
        <f t="shared" si="0"/>
        <v>3.8631017730615676E-2</v>
      </c>
      <c r="L15" s="341"/>
      <c r="M15" s="632" t="s">
        <v>404</v>
      </c>
      <c r="N15" s="638">
        <v>4000000</v>
      </c>
      <c r="O15"/>
    </row>
    <row r="16" spans="1:34" ht="14.25" customHeight="1" x14ac:dyDescent="0.25">
      <c r="A16" s="132"/>
      <c r="B16" s="132"/>
      <c r="C16" s="352" t="s">
        <v>667</v>
      </c>
      <c r="D16" s="353">
        <v>74433341</v>
      </c>
      <c r="E16" s="354">
        <f>D16/$D$37</f>
        <v>0.17053299717731873</v>
      </c>
      <c r="F16" s="349"/>
      <c r="G16" s="349"/>
      <c r="H16" s="355" t="s">
        <v>403</v>
      </c>
      <c r="I16" s="356">
        <f>+MapaII!G9-GETPIVOTDATA("valor",$M$11,"cc","Dir. Proteção Civil")</f>
        <v>2182388</v>
      </c>
      <c r="J16" s="354">
        <f t="shared" si="0"/>
        <v>4.7890351172830813E-3</v>
      </c>
      <c r="L16" s="341"/>
      <c r="M16" s="632" t="s">
        <v>403</v>
      </c>
      <c r="N16" s="638">
        <v>100000</v>
      </c>
      <c r="O16"/>
    </row>
    <row r="17" spans="1:15" ht="14.25" customHeight="1" x14ac:dyDescent="0.25">
      <c r="A17" s="132"/>
      <c r="B17" s="132"/>
      <c r="C17" s="683"/>
      <c r="D17" s="684"/>
      <c r="E17" s="685"/>
      <c r="F17" s="349"/>
      <c r="G17" s="349"/>
      <c r="H17" s="355" t="s">
        <v>404</v>
      </c>
      <c r="I17" s="356">
        <f>+MapaII!H9-GETPIVOTDATA("valor",$M$11,"cc","Dir. Juventude e Cultura ")</f>
        <v>0</v>
      </c>
      <c r="J17" s="354">
        <f t="shared" si="0"/>
        <v>0</v>
      </c>
      <c r="L17" s="341"/>
      <c r="M17" s="632" t="s">
        <v>407</v>
      </c>
      <c r="N17" s="638">
        <v>5700000</v>
      </c>
      <c r="O17"/>
    </row>
    <row r="18" spans="1:15" ht="14.25" customHeight="1" x14ac:dyDescent="0.25">
      <c r="A18" s="132"/>
      <c r="B18" s="132"/>
      <c r="C18" s="686"/>
      <c r="D18" s="687"/>
      <c r="E18" s="688"/>
      <c r="F18" s="349"/>
      <c r="G18" s="349"/>
      <c r="H18" s="355" t="s">
        <v>405</v>
      </c>
      <c r="I18" s="356">
        <f>+MapaII!I9-GETPIVOTDATA("valor",$M$11,"cc","Direção de Inovação e Desporto")</f>
        <v>4681924</v>
      </c>
      <c r="J18" s="354">
        <f t="shared" si="0"/>
        <v>1.0274020225757506E-2</v>
      </c>
      <c r="L18" s="341"/>
      <c r="M18" s="632" t="s">
        <v>402</v>
      </c>
      <c r="N18" s="638">
        <v>1100000</v>
      </c>
      <c r="O18"/>
    </row>
    <row r="19" spans="1:15" ht="15.75" x14ac:dyDescent="0.25">
      <c r="A19" s="132"/>
      <c r="B19" s="132"/>
      <c r="C19" s="686"/>
      <c r="D19" s="687"/>
      <c r="E19" s="688"/>
      <c r="F19" s="349"/>
      <c r="G19" s="349"/>
      <c r="H19" s="355" t="s">
        <v>406</v>
      </c>
      <c r="I19" s="356">
        <f>+MapaII!J9-GETPIVOTDATA("valor",$M$11,"cc","Dir. do Comércio, Indústria, Transporte Feiras e Pesca")</f>
        <v>1279144</v>
      </c>
      <c r="J19" s="354">
        <f t="shared" si="0"/>
        <v>2.8069552875391313E-3</v>
      </c>
      <c r="L19" s="341"/>
      <c r="M19" s="632" t="s">
        <v>409</v>
      </c>
      <c r="N19" s="638">
        <v>6900000</v>
      </c>
      <c r="O19"/>
    </row>
    <row r="20" spans="1:15" ht="15.75" x14ac:dyDescent="0.25">
      <c r="A20" s="132"/>
      <c r="B20" s="132"/>
      <c r="C20" s="686"/>
      <c r="D20" s="687"/>
      <c r="E20" s="688"/>
      <c r="F20" s="349"/>
      <c r="G20" s="349"/>
      <c r="H20" s="355" t="s">
        <v>407</v>
      </c>
      <c r="I20" s="640">
        <f>+MapaII!K9-GETPIVOTDATA("valor",$M$11,"cc","Dir. Turismo, Investimento e Emprendedorismo")</f>
        <v>1406080</v>
      </c>
      <c r="J20" s="354">
        <f t="shared" si="0"/>
        <v>3.0855038140373734E-3</v>
      </c>
      <c r="L20" s="341"/>
      <c r="M20" s="632" t="s">
        <v>410</v>
      </c>
      <c r="N20" s="638">
        <v>18500000</v>
      </c>
      <c r="O20"/>
    </row>
    <row r="21" spans="1:15" ht="15.75" x14ac:dyDescent="0.25">
      <c r="A21" s="132"/>
      <c r="B21" s="132"/>
      <c r="C21" s="686"/>
      <c r="D21" s="687"/>
      <c r="E21" s="688"/>
      <c r="F21" s="349"/>
      <c r="G21" s="349"/>
      <c r="H21" s="355" t="s">
        <v>408</v>
      </c>
      <c r="I21" s="356">
        <f>+MapaII!L9</f>
        <v>1915680</v>
      </c>
      <c r="J21" s="354">
        <f t="shared" si="0"/>
        <v>4.2037707288881962E-3</v>
      </c>
      <c r="L21" s="341"/>
      <c r="M21" s="632" t="s">
        <v>405</v>
      </c>
      <c r="N21" s="638">
        <v>6355000</v>
      </c>
      <c r="O21"/>
    </row>
    <row r="22" spans="1:15" ht="15.75" x14ac:dyDescent="0.25">
      <c r="A22" s="132"/>
      <c r="B22" s="132"/>
      <c r="C22" s="686"/>
      <c r="D22" s="687"/>
      <c r="E22" s="688"/>
      <c r="F22" s="349"/>
      <c r="G22" s="349"/>
      <c r="H22" s="355" t="s">
        <v>409</v>
      </c>
      <c r="I22" s="356">
        <f>+MapaII!M9-GETPIVOTDATA("valor",$M$11,"cc","Direção da Educação, Formação Profissional, Emprego")</f>
        <v>18668140</v>
      </c>
      <c r="J22" s="354">
        <f t="shared" si="0"/>
        <v>4.0965391137761473E-2</v>
      </c>
      <c r="L22" s="341"/>
      <c r="M22" s="632" t="s">
        <v>421</v>
      </c>
      <c r="N22" s="638">
        <v>226800000</v>
      </c>
      <c r="O22"/>
    </row>
    <row r="23" spans="1:15" ht="15.75" x14ac:dyDescent="0.25">
      <c r="A23" s="132"/>
      <c r="B23" s="132"/>
      <c r="C23" s="686"/>
      <c r="D23" s="687"/>
      <c r="E23" s="688"/>
      <c r="F23" s="349"/>
      <c r="G23" s="349"/>
      <c r="H23" s="355" t="s">
        <v>410</v>
      </c>
      <c r="I23" s="356">
        <f>+MapaII!N9-GETPIVOTDATA("valor",$M$11,"cc","Direcao da Familia, Inclusão, Genero e Saúde")</f>
        <v>6150620</v>
      </c>
      <c r="J23" s="354">
        <f t="shared" si="0"/>
        <v>1.3496928673115718E-2</v>
      </c>
      <c r="L23" s="341"/>
      <c r="M23" s="632" t="s">
        <v>8</v>
      </c>
      <c r="N23" s="638">
        <v>271655000</v>
      </c>
      <c r="O23"/>
    </row>
    <row r="24" spans="1:15" ht="15.75" x14ac:dyDescent="0.25">
      <c r="A24" s="132"/>
      <c r="B24" s="132"/>
      <c r="C24" s="686"/>
      <c r="D24" s="687"/>
      <c r="E24" s="688"/>
      <c r="F24" s="349"/>
      <c r="G24" s="349"/>
      <c r="H24" s="355" t="s">
        <v>411</v>
      </c>
      <c r="I24" s="640">
        <f>+MapaII!O9</f>
        <v>20515788</v>
      </c>
      <c r="J24" s="354">
        <f t="shared" si="0"/>
        <v>4.5019872355756552E-2</v>
      </c>
      <c r="L24" s="341"/>
      <c r="M24"/>
      <c r="N24"/>
      <c r="O24"/>
    </row>
    <row r="25" spans="1:15" ht="15.75" x14ac:dyDescent="0.25">
      <c r="A25" s="132"/>
      <c r="B25" s="132"/>
      <c r="C25" s="686"/>
      <c r="D25" s="687"/>
      <c r="E25" s="688"/>
      <c r="F25" s="349"/>
      <c r="G25" s="349"/>
      <c r="H25" s="355" t="s">
        <v>412</v>
      </c>
      <c r="I25" s="356">
        <f>+MapaII!P9-GETPIVOTDATA("valor",$M$11,"cc","Dir. da Agricultura, Pecuaria e Floresta")</f>
        <v>9397404</v>
      </c>
      <c r="J25" s="354">
        <f t="shared" si="0"/>
        <v>2.0621675782352404E-2</v>
      </c>
      <c r="L25" s="341"/>
      <c r="M25"/>
      <c r="N25"/>
      <c r="O25"/>
    </row>
    <row r="26" spans="1:15" ht="15.75" x14ac:dyDescent="0.25">
      <c r="A26" s="132"/>
      <c r="B26" s="132"/>
      <c r="C26" s="686"/>
      <c r="D26" s="687"/>
      <c r="E26" s="688"/>
      <c r="F26" s="349"/>
      <c r="G26" s="349"/>
      <c r="H26" s="355" t="s">
        <v>413</v>
      </c>
      <c r="I26" s="356">
        <f>+MapaII!Q9</f>
        <v>2726256</v>
      </c>
      <c r="J26" s="354">
        <f t="shared" si="0"/>
        <v>5.9824997767141796E-3</v>
      </c>
      <c r="L26" s="341"/>
      <c r="M26"/>
      <c r="N26"/>
      <c r="O26"/>
    </row>
    <row r="27" spans="1:15" ht="15.75" x14ac:dyDescent="0.25">
      <c r="A27" s="132"/>
      <c r="B27" s="132"/>
      <c r="C27" s="686"/>
      <c r="D27" s="687"/>
      <c r="E27" s="688"/>
      <c r="F27" s="349"/>
      <c r="G27" s="349"/>
      <c r="H27" s="355" t="s">
        <v>414</v>
      </c>
      <c r="I27" s="640">
        <f>+MapaII!R9</f>
        <v>1261944</v>
      </c>
      <c r="J27" s="354">
        <f t="shared" si="0"/>
        <v>2.7692115847615917E-3</v>
      </c>
      <c r="L27" s="341"/>
      <c r="M27"/>
      <c r="N27"/>
      <c r="O27"/>
    </row>
    <row r="28" spans="1:15" ht="15.75" x14ac:dyDescent="0.25">
      <c r="A28" s="132"/>
      <c r="B28" s="132"/>
      <c r="C28" s="686"/>
      <c r="D28" s="687"/>
      <c r="E28" s="688"/>
      <c r="F28" s="349"/>
      <c r="G28" s="349"/>
      <c r="H28" s="355" t="s">
        <v>415</v>
      </c>
      <c r="I28" s="356">
        <f>+MapaII!S9</f>
        <v>833752</v>
      </c>
      <c r="J28" s="354">
        <f t="shared" si="0"/>
        <v>1.8295864929173931E-3</v>
      </c>
      <c r="L28" s="341"/>
      <c r="M28"/>
      <c r="N28"/>
      <c r="O28"/>
    </row>
    <row r="29" spans="1:15" ht="14.25" customHeight="1" x14ac:dyDescent="0.25">
      <c r="A29" s="132"/>
      <c r="B29" s="132"/>
      <c r="C29" s="686"/>
      <c r="D29" s="687"/>
      <c r="E29" s="688"/>
      <c r="F29" s="349"/>
      <c r="G29" s="349"/>
      <c r="H29" s="355" t="s">
        <v>416</v>
      </c>
      <c r="I29" s="356">
        <f>+MapaII!T9</f>
        <v>1008752</v>
      </c>
      <c r="J29" s="354">
        <f t="shared" si="0"/>
        <v>2.2136067246656152E-3</v>
      </c>
      <c r="L29" s="341"/>
      <c r="M29"/>
      <c r="N29"/>
      <c r="O29"/>
    </row>
    <row r="30" spans="1:15" ht="15.75" x14ac:dyDescent="0.25">
      <c r="A30" s="132"/>
      <c r="B30" s="132"/>
      <c r="C30" s="686"/>
      <c r="D30" s="687"/>
      <c r="E30" s="688"/>
      <c r="F30" s="349"/>
      <c r="G30" s="349"/>
      <c r="H30" s="355" t="s">
        <v>417</v>
      </c>
      <c r="I30" s="356">
        <f>+MapaII!U9</f>
        <v>5291208</v>
      </c>
      <c r="J30" s="354">
        <f t="shared" si="0"/>
        <v>1.1611033842217414E-2</v>
      </c>
      <c r="L30" s="341"/>
      <c r="M30"/>
      <c r="N30"/>
      <c r="O30"/>
    </row>
    <row r="31" spans="1:15" ht="15.75" x14ac:dyDescent="0.25">
      <c r="A31" s="132"/>
      <c r="B31" s="132"/>
      <c r="C31" s="686"/>
      <c r="D31" s="687"/>
      <c r="E31" s="688"/>
      <c r="F31" s="349"/>
      <c r="G31" s="349"/>
      <c r="H31" s="355" t="s">
        <v>418</v>
      </c>
      <c r="I31" s="356">
        <f>+MapaII!V9</f>
        <v>1431944</v>
      </c>
      <c r="J31" s="354">
        <f t="shared" si="0"/>
        <v>3.1422598098884364E-3</v>
      </c>
      <c r="L31" s="341"/>
      <c r="M31"/>
      <c r="N31"/>
      <c r="O31"/>
    </row>
    <row r="32" spans="1:15" ht="15.75" x14ac:dyDescent="0.25">
      <c r="A32" s="132"/>
      <c r="B32" s="132"/>
      <c r="C32" s="686"/>
      <c r="D32" s="687"/>
      <c r="E32" s="688"/>
      <c r="F32" s="349"/>
      <c r="G32" s="349"/>
      <c r="H32" s="355" t="s">
        <v>419</v>
      </c>
      <c r="I32" s="356">
        <f>+MapaII!W9</f>
        <v>1008752</v>
      </c>
      <c r="J32" s="354">
        <f t="shared" si="0"/>
        <v>2.2136067246656152E-3</v>
      </c>
      <c r="L32" s="341"/>
      <c r="M32"/>
      <c r="N32"/>
      <c r="O32"/>
    </row>
    <row r="33" spans="1:15" ht="15.75" x14ac:dyDescent="0.25">
      <c r="A33" s="132"/>
      <c r="B33" s="132"/>
      <c r="C33" s="686"/>
      <c r="D33" s="687"/>
      <c r="E33" s="688"/>
      <c r="F33" s="349"/>
      <c r="G33" s="349"/>
      <c r="H33" s="355" t="s">
        <v>420</v>
      </c>
      <c r="I33" s="356">
        <f>+MapaII!X9</f>
        <v>1677504</v>
      </c>
      <c r="J33" s="354">
        <f t="shared" si="0"/>
        <v>3.6811169990775415E-3</v>
      </c>
      <c r="L33" s="341"/>
      <c r="M33"/>
      <c r="N33"/>
      <c r="O33"/>
    </row>
    <row r="34" spans="1:15" ht="15.75" x14ac:dyDescent="0.25">
      <c r="A34" s="132"/>
      <c r="B34" s="132"/>
      <c r="C34" s="686"/>
      <c r="D34" s="687"/>
      <c r="E34" s="688"/>
      <c r="F34" s="349"/>
      <c r="G34" s="349"/>
      <c r="H34" s="355" t="s">
        <v>421</v>
      </c>
      <c r="I34" s="356">
        <f>+MapaII!Y9-GETPIVOTDATA("valor",$M$11,"cc","Direção de Obras")</f>
        <v>10268332</v>
      </c>
      <c r="J34" s="354">
        <f t="shared" si="0"/>
        <v>2.2532841338901065E-2</v>
      </c>
      <c r="L34" s="341"/>
      <c r="M34"/>
      <c r="N34"/>
      <c r="O34"/>
    </row>
    <row r="35" spans="1:15" ht="15.75" x14ac:dyDescent="0.25">
      <c r="A35" s="132"/>
      <c r="B35" s="132"/>
      <c r="C35" s="686"/>
      <c r="D35" s="687"/>
      <c r="E35" s="688"/>
      <c r="F35" s="349"/>
      <c r="G35" s="349"/>
      <c r="H35" s="355" t="s">
        <v>422</v>
      </c>
      <c r="I35" s="356">
        <f>+MapaII!Z9</f>
        <v>3775552</v>
      </c>
      <c r="J35" s="354">
        <f t="shared" si="0"/>
        <v>8.2850763086712229E-3</v>
      </c>
      <c r="L35" s="341"/>
      <c r="M35"/>
      <c r="N35"/>
      <c r="O35"/>
    </row>
    <row r="36" spans="1:15" ht="14.25" customHeight="1" thickBot="1" x14ac:dyDescent="0.3">
      <c r="A36" s="132"/>
      <c r="B36" s="132"/>
      <c r="C36" s="686"/>
      <c r="D36" s="687"/>
      <c r="E36" s="688"/>
      <c r="F36" s="349"/>
      <c r="G36" s="349"/>
      <c r="H36" s="355" t="s">
        <v>824</v>
      </c>
      <c r="I36" s="356">
        <f>+MapaX!I14</f>
        <v>271655000</v>
      </c>
      <c r="J36" s="354">
        <f t="shared" si="0"/>
        <v>0.59612009174607605</v>
      </c>
      <c r="K36" s="88"/>
      <c r="L36" s="341"/>
      <c r="M36"/>
      <c r="N36"/>
      <c r="O36"/>
    </row>
    <row r="37" spans="1:15" ht="14.25" customHeight="1" thickBot="1" x14ac:dyDescent="0.3">
      <c r="A37" s="357"/>
      <c r="B37" s="357"/>
      <c r="C37" s="358" t="s">
        <v>825</v>
      </c>
      <c r="D37" s="359">
        <f>SUM(D12:D16)</f>
        <v>436474713</v>
      </c>
      <c r="E37" s="360">
        <f>D37/D37</f>
        <v>1</v>
      </c>
      <c r="F37" s="361"/>
      <c r="G37" s="349"/>
      <c r="H37" s="358" t="s">
        <v>826</v>
      </c>
      <c r="I37" s="362">
        <f>SUM(I12:I36)</f>
        <v>455705157</v>
      </c>
      <c r="J37" s="363">
        <f>+I37/I37</f>
        <v>1</v>
      </c>
      <c r="K37" s="88"/>
      <c r="L37" s="341"/>
      <c r="M37"/>
      <c r="N37"/>
      <c r="O37"/>
    </row>
    <row r="38" spans="1:15" ht="14.25" customHeight="1" x14ac:dyDescent="0.25">
      <c r="A38" s="357"/>
      <c r="B38" s="357"/>
      <c r="C38" s="364"/>
      <c r="D38" s="16"/>
      <c r="E38" s="16"/>
      <c r="F38" s="16"/>
      <c r="G38" s="16"/>
      <c r="H38" s="16"/>
      <c r="I38" s="16"/>
      <c r="J38" s="16"/>
      <c r="M38"/>
      <c r="N38"/>
      <c r="O38"/>
    </row>
    <row r="39" spans="1:15" ht="14.25" customHeight="1" x14ac:dyDescent="0.25">
      <c r="G39" s="16"/>
      <c r="H39" s="16"/>
      <c r="I39" s="338"/>
      <c r="J39" s="338"/>
      <c r="M39"/>
      <c r="N39"/>
      <c r="O39"/>
    </row>
    <row r="40" spans="1:15" ht="15.75" x14ac:dyDescent="0.25">
      <c r="C40" s="366" t="s">
        <v>1130</v>
      </c>
      <c r="D40" s="366"/>
      <c r="E40" s="366"/>
      <c r="F40" s="366"/>
      <c r="G40" s="366"/>
      <c r="H40" s="366"/>
      <c r="I40" s="366"/>
      <c r="J40" s="366"/>
      <c r="K40" s="366"/>
      <c r="L40" s="366"/>
      <c r="M40"/>
      <c r="N40"/>
      <c r="O40"/>
    </row>
    <row r="41" spans="1:15" ht="15.75" x14ac:dyDescent="0.25">
      <c r="C41" s="90"/>
      <c r="D41" s="367"/>
      <c r="E41" s="366"/>
      <c r="F41" s="366"/>
      <c r="G41" s="366"/>
      <c r="H41" s="366"/>
      <c r="I41" s="366"/>
      <c r="J41" s="366"/>
      <c r="K41" s="366"/>
      <c r="L41" s="366"/>
      <c r="M41"/>
      <c r="N41"/>
      <c r="O41"/>
    </row>
    <row r="42" spans="1:15" ht="15.75" x14ac:dyDescent="0.25">
      <c r="C42" s="368" t="s">
        <v>377</v>
      </c>
      <c r="D42" s="368"/>
      <c r="E42" s="368"/>
      <c r="F42" s="368"/>
      <c r="G42" s="368"/>
      <c r="H42" s="368"/>
      <c r="I42" s="368"/>
      <c r="J42" s="368"/>
      <c r="K42" s="368"/>
      <c r="L42" s="368"/>
      <c r="M42"/>
      <c r="N42"/>
      <c r="O42"/>
    </row>
    <row r="43" spans="1:15" ht="15" x14ac:dyDescent="0.25">
      <c r="C43" s="92"/>
      <c r="D43" s="369"/>
      <c r="E43" s="93"/>
      <c r="F43" s="93"/>
      <c r="G43" s="93"/>
      <c r="H43" s="93"/>
      <c r="I43" s="93"/>
      <c r="J43" s="93"/>
      <c r="K43" s="93"/>
      <c r="L43" s="93"/>
    </row>
    <row r="44" spans="1:15" ht="15" x14ac:dyDescent="0.25">
      <c r="C44" s="94" t="s">
        <v>378</v>
      </c>
      <c r="D44" s="94"/>
      <c r="E44" s="94"/>
      <c r="F44" s="94"/>
      <c r="G44" s="94"/>
      <c r="H44" s="94"/>
      <c r="I44" s="94"/>
      <c r="J44" s="94"/>
      <c r="K44" s="94"/>
      <c r="L44" s="94"/>
    </row>
    <row r="45" spans="1:15" ht="15.75" x14ac:dyDescent="0.25">
      <c r="C45" s="300" t="s">
        <v>379</v>
      </c>
      <c r="D45" s="300"/>
      <c r="E45" s="300"/>
      <c r="F45" s="300"/>
      <c r="G45" s="300"/>
      <c r="H45" s="300"/>
      <c r="I45" s="300"/>
      <c r="J45" s="300"/>
      <c r="K45" s="300"/>
      <c r="L45" s="300"/>
    </row>
    <row r="46" spans="1:15" ht="15.75" x14ac:dyDescent="0.25">
      <c r="C46" s="300"/>
      <c r="D46" s="300"/>
      <c r="E46" s="300"/>
      <c r="F46" s="300"/>
      <c r="G46" s="300"/>
      <c r="H46" s="300"/>
      <c r="I46" s="300"/>
      <c r="J46" s="300"/>
      <c r="K46" s="300"/>
      <c r="L46" s="300"/>
    </row>
    <row r="47" spans="1:15" ht="14.25" customHeight="1" x14ac:dyDescent="0.25">
      <c r="G47" s="16"/>
      <c r="H47" s="16"/>
      <c r="I47" s="338"/>
      <c r="J47" s="338"/>
    </row>
    <row r="48" spans="1:15" ht="14.25" customHeight="1" x14ac:dyDescent="0.25">
      <c r="G48" s="16"/>
      <c r="H48" s="16"/>
      <c r="I48" s="338"/>
      <c r="J48" s="338"/>
    </row>
    <row r="49" spans="7:10" ht="14.25" customHeight="1" x14ac:dyDescent="0.25">
      <c r="G49" s="16"/>
      <c r="H49" s="16"/>
      <c r="I49" s="338"/>
      <c r="J49" s="338"/>
    </row>
    <row r="50" spans="7:10" ht="14.25" customHeight="1" x14ac:dyDescent="0.25">
      <c r="G50" s="16"/>
      <c r="H50" s="16"/>
      <c r="I50" s="338"/>
      <c r="J50" s="338"/>
    </row>
    <row r="51" spans="7:10" ht="14.25" customHeight="1" x14ac:dyDescent="0.25">
      <c r="G51" s="16"/>
      <c r="H51" s="16"/>
      <c r="I51" s="338"/>
      <c r="J51" s="338"/>
    </row>
    <row r="52" spans="7:10" ht="14.25" customHeight="1" x14ac:dyDescent="0.25">
      <c r="G52" s="16"/>
      <c r="H52" s="16"/>
      <c r="I52" s="338"/>
      <c r="J52" s="338"/>
    </row>
    <row r="53" spans="7:10" ht="14.25" customHeight="1" x14ac:dyDescent="0.25">
      <c r="G53" s="16"/>
      <c r="H53" s="16"/>
      <c r="I53" s="338"/>
      <c r="J53" s="338"/>
    </row>
    <row r="54" spans="7:10" ht="14.25" customHeight="1" x14ac:dyDescent="0.25">
      <c r="G54" s="16"/>
      <c r="H54" s="16"/>
      <c r="I54" s="338"/>
      <c r="J54" s="338"/>
    </row>
    <row r="55" spans="7:10" ht="14.25" customHeight="1" x14ac:dyDescent="0.25">
      <c r="G55" s="16"/>
      <c r="H55" s="16"/>
      <c r="I55" s="338"/>
      <c r="J55" s="338"/>
    </row>
    <row r="56" spans="7:10" ht="14.25" customHeight="1" x14ac:dyDescent="0.25">
      <c r="G56" s="16"/>
      <c r="H56" s="16"/>
      <c r="I56" s="338"/>
      <c r="J56" s="338"/>
    </row>
    <row r="57" spans="7:10" ht="14.25" customHeight="1" x14ac:dyDescent="0.25">
      <c r="G57" s="16"/>
      <c r="H57" s="16"/>
      <c r="I57" s="338"/>
      <c r="J57" s="338"/>
    </row>
    <row r="58" spans="7:10" ht="14.25" customHeight="1" x14ac:dyDescent="0.25">
      <c r="G58" s="16"/>
      <c r="H58" s="16"/>
      <c r="I58" s="338"/>
      <c r="J58" s="338"/>
    </row>
    <row r="59" spans="7:10" ht="14.25" customHeight="1" x14ac:dyDescent="0.25">
      <c r="G59" s="16"/>
      <c r="H59" s="16"/>
      <c r="I59" s="338"/>
      <c r="J59" s="338"/>
    </row>
    <row r="60" spans="7:10" ht="14.25" customHeight="1" x14ac:dyDescent="0.25">
      <c r="G60" s="16"/>
      <c r="H60" s="16"/>
      <c r="I60" s="338"/>
      <c r="J60" s="338"/>
    </row>
    <row r="61" spans="7:10" ht="14.25" customHeight="1" x14ac:dyDescent="0.25">
      <c r="G61" s="16"/>
      <c r="H61" s="16"/>
      <c r="I61" s="338"/>
      <c r="J61" s="338"/>
    </row>
    <row r="62" spans="7:10" ht="14.25" customHeight="1" x14ac:dyDescent="0.25">
      <c r="G62" s="16"/>
      <c r="H62" s="16"/>
      <c r="I62" s="338"/>
      <c r="J62" s="338"/>
    </row>
    <row r="63" spans="7:10" ht="14.25" customHeight="1" x14ac:dyDescent="0.25">
      <c r="G63" s="16"/>
      <c r="H63" s="16"/>
      <c r="I63" s="338"/>
      <c r="J63" s="338"/>
    </row>
    <row r="64" spans="7:10" ht="14.25" customHeight="1" x14ac:dyDescent="0.25">
      <c r="G64" s="16"/>
      <c r="H64" s="16"/>
      <c r="I64" s="338"/>
      <c r="J64" s="338"/>
    </row>
    <row r="65" spans="7:10" ht="14.25" customHeight="1" x14ac:dyDescent="0.25">
      <c r="G65" s="16"/>
      <c r="H65" s="16"/>
      <c r="I65" s="338"/>
      <c r="J65" s="338"/>
    </row>
    <row r="66" spans="7:10" ht="14.25" customHeight="1" x14ac:dyDescent="0.25">
      <c r="G66" s="16"/>
      <c r="H66" s="16"/>
      <c r="I66" s="338"/>
      <c r="J66" s="338"/>
    </row>
    <row r="67" spans="7:10" ht="14.25" customHeight="1" x14ac:dyDescent="0.25">
      <c r="G67" s="16"/>
      <c r="H67" s="16"/>
      <c r="I67" s="338"/>
      <c r="J67" s="338"/>
    </row>
    <row r="68" spans="7:10" ht="14.25" customHeight="1" x14ac:dyDescent="0.25">
      <c r="G68" s="16"/>
      <c r="H68" s="16"/>
      <c r="I68" s="338"/>
      <c r="J68" s="338"/>
    </row>
    <row r="69" spans="7:10" ht="14.25" customHeight="1" x14ac:dyDescent="0.25">
      <c r="G69" s="16"/>
      <c r="H69" s="16"/>
      <c r="I69" s="338"/>
      <c r="J69" s="338"/>
    </row>
    <row r="70" spans="7:10" ht="14.25" customHeight="1" x14ac:dyDescent="0.25">
      <c r="G70" s="16"/>
      <c r="H70" s="16"/>
      <c r="I70" s="338"/>
      <c r="J70" s="338"/>
    </row>
    <row r="71" spans="7:10" ht="14.25" customHeight="1" x14ac:dyDescent="0.25">
      <c r="G71" s="16"/>
      <c r="H71" s="16"/>
      <c r="I71" s="338"/>
      <c r="J71" s="338"/>
    </row>
    <row r="72" spans="7:10" ht="14.25" customHeight="1" x14ac:dyDescent="0.25">
      <c r="G72" s="16"/>
      <c r="H72" s="16"/>
      <c r="I72" s="338"/>
      <c r="J72" s="338"/>
    </row>
    <row r="73" spans="7:10" ht="14.25" customHeight="1" x14ac:dyDescent="0.25">
      <c r="G73" s="16"/>
      <c r="H73" s="16"/>
      <c r="I73" s="338"/>
      <c r="J73" s="338"/>
    </row>
    <row r="74" spans="7:10" ht="14.25" customHeight="1" x14ac:dyDescent="0.25">
      <c r="G74" s="16"/>
      <c r="H74" s="16"/>
      <c r="I74" s="338"/>
      <c r="J74" s="338"/>
    </row>
    <row r="75" spans="7:10" ht="14.25" customHeight="1" x14ac:dyDescent="0.25">
      <c r="G75" s="16"/>
      <c r="H75" s="16"/>
      <c r="I75" s="338"/>
      <c r="J75" s="338"/>
    </row>
    <row r="76" spans="7:10" ht="14.25" customHeight="1" x14ac:dyDescent="0.25">
      <c r="G76" s="16"/>
      <c r="H76" s="16"/>
      <c r="I76" s="338"/>
      <c r="J76" s="338"/>
    </row>
    <row r="77" spans="7:10" ht="14.25" customHeight="1" x14ac:dyDescent="0.25">
      <c r="G77" s="16"/>
      <c r="H77" s="16"/>
      <c r="I77" s="338"/>
      <c r="J77" s="338"/>
    </row>
    <row r="78" spans="7:10" ht="14.25" customHeight="1" x14ac:dyDescent="0.25">
      <c r="G78" s="16"/>
      <c r="H78" s="16"/>
      <c r="I78" s="338"/>
      <c r="J78" s="338"/>
    </row>
    <row r="79" spans="7:10" ht="14.25" customHeight="1" x14ac:dyDescent="0.25">
      <c r="G79" s="16"/>
      <c r="H79" s="16"/>
      <c r="I79" s="338"/>
      <c r="J79" s="338"/>
    </row>
    <row r="80" spans="7:10" ht="14.25" customHeight="1" x14ac:dyDescent="0.25">
      <c r="G80" s="16"/>
      <c r="H80" s="16"/>
      <c r="I80" s="338"/>
      <c r="J80" s="338"/>
    </row>
    <row r="81" spans="7:10" ht="14.25" customHeight="1" x14ac:dyDescent="0.25">
      <c r="G81" s="16"/>
      <c r="H81" s="16"/>
      <c r="I81" s="338"/>
      <c r="J81" s="338"/>
    </row>
    <row r="82" spans="7:10" ht="14.25" customHeight="1" x14ac:dyDescent="0.25">
      <c r="G82" s="16"/>
      <c r="H82" s="16"/>
      <c r="I82" s="338"/>
      <c r="J82" s="338"/>
    </row>
    <row r="83" spans="7:10" ht="14.25" customHeight="1" x14ac:dyDescent="0.25">
      <c r="G83" s="16"/>
      <c r="H83" s="16"/>
      <c r="I83" s="338"/>
      <c r="J83" s="338"/>
    </row>
    <row r="84" spans="7:10" ht="14.25" customHeight="1" x14ac:dyDescent="0.25">
      <c r="G84" s="16"/>
      <c r="H84" s="16"/>
      <c r="I84" s="338"/>
      <c r="J84" s="338"/>
    </row>
    <row r="85" spans="7:10" ht="14.25" customHeight="1" x14ac:dyDescent="0.25">
      <c r="G85" s="16"/>
      <c r="H85" s="16"/>
      <c r="I85" s="338"/>
      <c r="J85" s="338"/>
    </row>
    <row r="86" spans="7:10" ht="14.25" customHeight="1" x14ac:dyDescent="0.25">
      <c r="G86" s="16"/>
      <c r="H86" s="16"/>
      <c r="I86" s="338"/>
      <c r="J86" s="338"/>
    </row>
    <row r="87" spans="7:10" ht="14.25" customHeight="1" x14ac:dyDescent="0.25">
      <c r="G87" s="16"/>
      <c r="H87" s="16"/>
      <c r="I87" s="338"/>
      <c r="J87" s="338"/>
    </row>
    <row r="88" spans="7:10" ht="14.25" customHeight="1" x14ac:dyDescent="0.25">
      <c r="G88" s="16"/>
      <c r="H88" s="16"/>
      <c r="I88" s="338"/>
      <c r="J88" s="338"/>
    </row>
    <row r="89" spans="7:10" ht="14.25" customHeight="1" x14ac:dyDescent="0.25">
      <c r="G89" s="16"/>
      <c r="H89" s="16"/>
      <c r="I89" s="338"/>
      <c r="J89" s="338"/>
    </row>
    <row r="90" spans="7:10" ht="14.25" customHeight="1" x14ac:dyDescent="0.25">
      <c r="G90" s="16"/>
      <c r="H90" s="16"/>
      <c r="I90" s="338"/>
      <c r="J90" s="338"/>
    </row>
    <row r="91" spans="7:10" ht="14.25" customHeight="1" x14ac:dyDescent="0.25">
      <c r="G91" s="16"/>
      <c r="H91" s="16"/>
      <c r="I91" s="338"/>
      <c r="J91" s="338"/>
    </row>
    <row r="92" spans="7:10" ht="14.25" customHeight="1" x14ac:dyDescent="0.25">
      <c r="G92" s="16"/>
      <c r="H92" s="16"/>
      <c r="I92" s="338"/>
      <c r="J92" s="338"/>
    </row>
    <row r="93" spans="7:10" ht="14.25" customHeight="1" x14ac:dyDescent="0.25">
      <c r="G93" s="16"/>
      <c r="H93" s="16"/>
      <c r="I93" s="338"/>
      <c r="J93" s="338"/>
    </row>
    <row r="94" spans="7:10" ht="14.25" customHeight="1" x14ac:dyDescent="0.25">
      <c r="G94" s="16"/>
      <c r="H94" s="16"/>
      <c r="I94" s="338"/>
      <c r="J94" s="338"/>
    </row>
    <row r="95" spans="7:10" ht="14.25" customHeight="1" x14ac:dyDescent="0.25">
      <c r="G95" s="16"/>
      <c r="H95" s="16"/>
      <c r="I95" s="338"/>
      <c r="J95" s="338"/>
    </row>
    <row r="96" spans="7:10" ht="14.25" customHeight="1" x14ac:dyDescent="0.25">
      <c r="G96" s="16"/>
      <c r="H96" s="16"/>
      <c r="I96" s="338"/>
      <c r="J96" s="338"/>
    </row>
    <row r="97" spans="7:10" ht="14.25" customHeight="1" x14ac:dyDescent="0.25">
      <c r="G97" s="16"/>
      <c r="H97" s="16"/>
      <c r="I97" s="338"/>
      <c r="J97" s="338"/>
    </row>
    <row r="98" spans="7:10" ht="14.25" customHeight="1" x14ac:dyDescent="0.25">
      <c r="G98" s="16"/>
      <c r="H98" s="16"/>
      <c r="I98" s="338"/>
      <c r="J98" s="338"/>
    </row>
    <row r="99" spans="7:10" ht="14.25" customHeight="1" x14ac:dyDescent="0.25">
      <c r="G99" s="16"/>
      <c r="H99" s="16"/>
      <c r="I99" s="338"/>
      <c r="J99" s="338"/>
    </row>
    <row r="100" spans="7:10" ht="14.25" customHeight="1" x14ac:dyDescent="0.25">
      <c r="G100" s="16"/>
      <c r="H100" s="16"/>
      <c r="I100" s="338"/>
      <c r="J100" s="338"/>
    </row>
    <row r="101" spans="7:10" ht="14.25" customHeight="1" x14ac:dyDescent="0.25">
      <c r="G101" s="16"/>
      <c r="H101" s="16"/>
      <c r="I101" s="338"/>
      <c r="J101" s="338"/>
    </row>
    <row r="102" spans="7:10" ht="14.25" customHeight="1" x14ac:dyDescent="0.25">
      <c r="G102" s="16"/>
      <c r="H102" s="16"/>
      <c r="I102" s="338"/>
      <c r="J102" s="338"/>
    </row>
    <row r="103" spans="7:10" ht="14.25" customHeight="1" x14ac:dyDescent="0.25">
      <c r="G103" s="16"/>
      <c r="H103" s="16"/>
      <c r="I103" s="338"/>
      <c r="J103" s="338"/>
    </row>
    <row r="104" spans="7:10" ht="14.25" customHeight="1" x14ac:dyDescent="0.25">
      <c r="G104" s="16"/>
      <c r="H104" s="16"/>
      <c r="I104" s="338"/>
      <c r="J104" s="338"/>
    </row>
    <row r="105" spans="7:10" ht="14.25" customHeight="1" x14ac:dyDescent="0.25">
      <c r="G105" s="16"/>
      <c r="H105" s="16"/>
      <c r="I105" s="338"/>
      <c r="J105" s="338"/>
    </row>
    <row r="106" spans="7:10" ht="14.25" customHeight="1" x14ac:dyDescent="0.25">
      <c r="G106" s="16"/>
      <c r="H106" s="16"/>
      <c r="I106" s="338"/>
      <c r="J106" s="338"/>
    </row>
    <row r="107" spans="7:10" ht="14.25" customHeight="1" x14ac:dyDescent="0.25">
      <c r="G107" s="16"/>
      <c r="H107" s="16"/>
      <c r="I107" s="338"/>
      <c r="J107" s="338"/>
    </row>
    <row r="108" spans="7:10" ht="14.25" customHeight="1" x14ac:dyDescent="0.25">
      <c r="G108" s="16"/>
      <c r="H108" s="16"/>
      <c r="I108" s="338"/>
      <c r="J108" s="338"/>
    </row>
    <row r="109" spans="7:10" ht="14.25" customHeight="1" x14ac:dyDescent="0.25">
      <c r="G109" s="16"/>
      <c r="H109" s="16"/>
      <c r="I109" s="338"/>
      <c r="J109" s="338"/>
    </row>
    <row r="110" spans="7:10" ht="14.25" customHeight="1" x14ac:dyDescent="0.25">
      <c r="G110" s="16"/>
      <c r="H110" s="16"/>
      <c r="I110" s="338"/>
      <c r="J110" s="338"/>
    </row>
    <row r="111" spans="7:10" ht="14.25" customHeight="1" x14ac:dyDescent="0.25">
      <c r="G111" s="16"/>
      <c r="H111" s="16"/>
      <c r="I111" s="338"/>
      <c r="J111" s="338"/>
    </row>
    <row r="112" spans="7:10" ht="14.25" customHeight="1" x14ac:dyDescent="0.25">
      <c r="G112" s="16"/>
      <c r="H112" s="16"/>
      <c r="I112" s="338"/>
      <c r="J112" s="338"/>
    </row>
    <row r="113" spans="7:10" ht="14.25" customHeight="1" x14ac:dyDescent="0.25">
      <c r="G113" s="16"/>
      <c r="H113" s="16"/>
      <c r="I113" s="338"/>
      <c r="J113" s="338"/>
    </row>
    <row r="114" spans="7:10" ht="14.25" customHeight="1" x14ac:dyDescent="0.25">
      <c r="G114" s="16"/>
      <c r="H114" s="16"/>
      <c r="I114" s="338"/>
      <c r="J114" s="338"/>
    </row>
    <row r="115" spans="7:10" ht="14.25" customHeight="1" x14ac:dyDescent="0.25">
      <c r="G115" s="16"/>
      <c r="H115" s="16"/>
      <c r="I115" s="338"/>
      <c r="J115" s="338"/>
    </row>
    <row r="116" spans="7:10" ht="14.25" customHeight="1" x14ac:dyDescent="0.25">
      <c r="G116" s="16"/>
      <c r="H116" s="16"/>
      <c r="I116" s="338"/>
      <c r="J116" s="338"/>
    </row>
    <row r="117" spans="7:10" ht="14.25" customHeight="1" x14ac:dyDescent="0.25">
      <c r="G117" s="16"/>
      <c r="H117" s="16"/>
      <c r="I117" s="338"/>
      <c r="J117" s="338"/>
    </row>
    <row r="118" spans="7:10" ht="14.25" customHeight="1" x14ac:dyDescent="0.25">
      <c r="G118" s="16"/>
      <c r="H118" s="16"/>
      <c r="I118" s="338"/>
      <c r="J118" s="338"/>
    </row>
    <row r="119" spans="7:10" ht="14.25" customHeight="1" x14ac:dyDescent="0.25">
      <c r="G119" s="16"/>
      <c r="H119" s="16"/>
      <c r="I119" s="338"/>
      <c r="J119" s="338"/>
    </row>
    <row r="120" spans="7:10" ht="14.25" customHeight="1" x14ac:dyDescent="0.25">
      <c r="G120" s="16"/>
      <c r="H120" s="16"/>
      <c r="I120" s="338"/>
      <c r="J120" s="338"/>
    </row>
    <row r="121" spans="7:10" ht="14.25" customHeight="1" x14ac:dyDescent="0.25">
      <c r="G121" s="16"/>
      <c r="H121" s="16"/>
      <c r="I121" s="338"/>
      <c r="J121" s="338"/>
    </row>
    <row r="122" spans="7:10" ht="14.25" customHeight="1" x14ac:dyDescent="0.25">
      <c r="G122" s="16"/>
      <c r="H122" s="16"/>
      <c r="I122" s="338"/>
      <c r="J122" s="338"/>
    </row>
    <row r="123" spans="7:10" ht="14.25" customHeight="1" x14ac:dyDescent="0.25">
      <c r="G123" s="16"/>
      <c r="H123" s="16"/>
      <c r="I123" s="338"/>
      <c r="J123" s="338"/>
    </row>
    <row r="124" spans="7:10" ht="14.25" customHeight="1" x14ac:dyDescent="0.25">
      <c r="G124" s="16"/>
      <c r="H124" s="16"/>
      <c r="I124" s="338"/>
      <c r="J124" s="338"/>
    </row>
    <row r="125" spans="7:10" ht="14.25" customHeight="1" x14ac:dyDescent="0.25">
      <c r="G125" s="16"/>
      <c r="H125" s="16"/>
      <c r="I125" s="338"/>
      <c r="J125" s="338"/>
    </row>
    <row r="126" spans="7:10" ht="14.25" customHeight="1" x14ac:dyDescent="0.25">
      <c r="G126" s="16"/>
      <c r="H126" s="16"/>
      <c r="I126" s="338"/>
      <c r="J126" s="338"/>
    </row>
    <row r="127" spans="7:10" ht="14.25" customHeight="1" x14ac:dyDescent="0.25">
      <c r="G127" s="16"/>
      <c r="H127" s="16"/>
      <c r="I127" s="338"/>
      <c r="J127" s="338"/>
    </row>
    <row r="128" spans="7:10" ht="14.25" customHeight="1" x14ac:dyDescent="0.25">
      <c r="G128" s="16"/>
      <c r="H128" s="16"/>
      <c r="I128" s="338"/>
      <c r="J128" s="338"/>
    </row>
    <row r="129" spans="7:10" ht="14.25" customHeight="1" x14ac:dyDescent="0.25">
      <c r="G129" s="16"/>
      <c r="H129" s="16"/>
      <c r="I129" s="338"/>
      <c r="J129" s="338"/>
    </row>
    <row r="130" spans="7:10" ht="14.25" customHeight="1" x14ac:dyDescent="0.25">
      <c r="G130" s="16"/>
      <c r="H130" s="16"/>
      <c r="I130" s="338"/>
      <c r="J130" s="338"/>
    </row>
    <row r="131" spans="7:10" ht="14.25" customHeight="1" x14ac:dyDescent="0.25">
      <c r="G131" s="16"/>
      <c r="H131" s="16"/>
      <c r="I131" s="338"/>
      <c r="J131" s="338"/>
    </row>
    <row r="132" spans="7:10" ht="14.25" customHeight="1" x14ac:dyDescent="0.25">
      <c r="G132" s="16"/>
      <c r="H132" s="16"/>
      <c r="I132" s="338"/>
      <c r="J132" s="338"/>
    </row>
    <row r="133" spans="7:10" ht="14.25" customHeight="1" x14ac:dyDescent="0.25">
      <c r="G133" s="16"/>
      <c r="H133" s="16"/>
      <c r="I133" s="338"/>
      <c r="J133" s="338"/>
    </row>
    <row r="134" spans="7:10" ht="14.25" customHeight="1" x14ac:dyDescent="0.25">
      <c r="G134" s="16"/>
      <c r="H134" s="16"/>
      <c r="I134" s="338"/>
      <c r="J134" s="338"/>
    </row>
    <row r="135" spans="7:10" ht="14.25" customHeight="1" x14ac:dyDescent="0.25">
      <c r="G135" s="16"/>
      <c r="H135" s="16"/>
      <c r="I135" s="338"/>
      <c r="J135" s="338"/>
    </row>
    <row r="136" spans="7:10" ht="14.25" customHeight="1" x14ac:dyDescent="0.25">
      <c r="G136" s="16"/>
      <c r="H136" s="16"/>
      <c r="I136" s="338"/>
      <c r="J136" s="338"/>
    </row>
    <row r="137" spans="7:10" ht="14.25" customHeight="1" x14ac:dyDescent="0.25">
      <c r="G137" s="16"/>
      <c r="H137" s="16"/>
      <c r="I137" s="338"/>
      <c r="J137" s="338"/>
    </row>
    <row r="138" spans="7:10" ht="14.25" customHeight="1" x14ac:dyDescent="0.25">
      <c r="G138" s="16"/>
      <c r="H138" s="16"/>
      <c r="I138" s="338"/>
      <c r="J138" s="338"/>
    </row>
    <row r="139" spans="7:10" ht="14.25" customHeight="1" x14ac:dyDescent="0.25">
      <c r="G139" s="16"/>
      <c r="H139" s="16"/>
      <c r="I139" s="338"/>
      <c r="J139" s="338"/>
    </row>
    <row r="140" spans="7:10" ht="14.25" customHeight="1" x14ac:dyDescent="0.25">
      <c r="G140" s="16"/>
      <c r="H140" s="16"/>
      <c r="I140" s="338"/>
      <c r="J140" s="338"/>
    </row>
    <row r="141" spans="7:10" ht="14.25" customHeight="1" x14ac:dyDescent="0.25">
      <c r="G141" s="16"/>
      <c r="H141" s="16"/>
      <c r="I141" s="338"/>
      <c r="J141" s="338"/>
    </row>
    <row r="142" spans="7:10" ht="14.25" customHeight="1" x14ac:dyDescent="0.25">
      <c r="G142" s="16"/>
      <c r="H142" s="16"/>
      <c r="I142" s="338"/>
      <c r="J142" s="338"/>
    </row>
    <row r="143" spans="7:10" ht="14.25" customHeight="1" x14ac:dyDescent="0.25">
      <c r="G143" s="16"/>
      <c r="H143" s="16"/>
      <c r="I143" s="338"/>
      <c r="J143" s="338"/>
    </row>
    <row r="144" spans="7:10" ht="14.25" customHeight="1" x14ac:dyDescent="0.25">
      <c r="G144" s="16"/>
      <c r="H144" s="16"/>
      <c r="I144" s="338"/>
      <c r="J144" s="338"/>
    </row>
    <row r="145" spans="7:10" ht="14.25" customHeight="1" x14ac:dyDescent="0.25">
      <c r="G145" s="16"/>
      <c r="H145" s="16"/>
      <c r="I145" s="338"/>
      <c r="J145" s="338"/>
    </row>
    <row r="146" spans="7:10" ht="14.25" customHeight="1" x14ac:dyDescent="0.25">
      <c r="G146" s="16"/>
      <c r="H146" s="16"/>
      <c r="I146" s="338"/>
      <c r="J146" s="338"/>
    </row>
    <row r="147" spans="7:10" ht="14.25" customHeight="1" x14ac:dyDescent="0.25">
      <c r="G147" s="16"/>
      <c r="H147" s="16"/>
      <c r="I147" s="338"/>
      <c r="J147" s="338"/>
    </row>
    <row r="148" spans="7:10" ht="14.25" customHeight="1" x14ac:dyDescent="0.25">
      <c r="G148" s="16"/>
      <c r="H148" s="16"/>
      <c r="I148" s="338"/>
      <c r="J148" s="338"/>
    </row>
  </sheetData>
  <mergeCells count="4">
    <mergeCell ref="C5:L5"/>
    <mergeCell ref="C6:L6"/>
    <mergeCell ref="C7:J8"/>
    <mergeCell ref="C17:E36"/>
  </mergeCells>
  <printOptions horizontalCentered="1"/>
  <pageMargins left="0.62992125984251968" right="0.23622047244094491" top="0.35433070866141736" bottom="0.74803149606299213" header="0.31496062992125984" footer="0.31496062992125984"/>
  <pageSetup paperSize="9" scale="75" orientation="landscape" r:id="rId2"/>
  <rowBreaks count="1" manualBreakCount="1">
    <brk id="46" max="16383" man="1"/>
  </rowBreaks>
  <colBreaks count="1" manualBreakCount="1">
    <brk id="10" max="1048575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U59"/>
  <sheetViews>
    <sheetView topLeftCell="A7" zoomScale="110" zoomScaleNormal="110" workbookViewId="0">
      <selection activeCell="D42" sqref="D42"/>
    </sheetView>
  </sheetViews>
  <sheetFormatPr defaultRowHeight="15" x14ac:dyDescent="0.25"/>
  <cols>
    <col min="1" max="1" width="35.42578125" style="132" customWidth="1"/>
    <col min="2" max="2" width="30.28515625" style="132" customWidth="1"/>
    <col min="3" max="3" width="25.42578125" style="132" bestFit="1" customWidth="1"/>
    <col min="4" max="4" width="18.42578125" style="309" bestFit="1" customWidth="1"/>
    <col min="5" max="5" width="14.7109375" style="309" bestFit="1" customWidth="1"/>
    <col min="6" max="6" width="14.42578125" style="309" bestFit="1" customWidth="1"/>
    <col min="7" max="21" width="9.140625" style="309" customWidth="1"/>
    <col min="22" max="16384" width="9.140625" style="132"/>
  </cols>
  <sheetData>
    <row r="5" spans="1:21" x14ac:dyDescent="0.25">
      <c r="A5" s="699" t="s">
        <v>789</v>
      </c>
      <c r="B5" s="699"/>
      <c r="C5" s="699"/>
      <c r="D5" s="308"/>
      <c r="E5" s="308"/>
    </row>
    <row r="6" spans="1:21" x14ac:dyDescent="0.25">
      <c r="A6" s="699" t="s">
        <v>1129</v>
      </c>
      <c r="B6" s="699"/>
      <c r="C6" s="699"/>
    </row>
    <row r="7" spans="1:21" x14ac:dyDescent="0.25">
      <c r="A7" s="700" t="s">
        <v>790</v>
      </c>
      <c r="B7" s="700"/>
      <c r="C7" s="700"/>
      <c r="D7" s="701"/>
      <c r="E7" s="701"/>
    </row>
    <row r="8" spans="1:21" x14ac:dyDescent="0.25">
      <c r="A8" s="700"/>
      <c r="B8" s="700"/>
      <c r="C8" s="700"/>
      <c r="D8" s="701"/>
      <c r="E8" s="701"/>
    </row>
    <row r="9" spans="1:21" x14ac:dyDescent="0.25">
      <c r="A9" s="700"/>
      <c r="B9" s="700"/>
      <c r="C9" s="700"/>
      <c r="D9" s="701"/>
      <c r="E9" s="701"/>
    </row>
    <row r="10" spans="1:21" s="312" customFormat="1" x14ac:dyDescent="0.25">
      <c r="A10" s="310" t="s">
        <v>791</v>
      </c>
      <c r="B10" s="310" t="s">
        <v>792</v>
      </c>
      <c r="C10" s="310" t="s">
        <v>429</v>
      </c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</row>
    <row r="11" spans="1:21" x14ac:dyDescent="0.25">
      <c r="A11" s="313" t="s">
        <v>793</v>
      </c>
      <c r="B11" s="314" t="s">
        <v>794</v>
      </c>
      <c r="C11" s="315"/>
    </row>
    <row r="12" spans="1:21" x14ac:dyDescent="0.25">
      <c r="A12" s="316" t="s">
        <v>795</v>
      </c>
      <c r="B12" s="317" t="s">
        <v>14</v>
      </c>
      <c r="C12" s="318">
        <v>18375000</v>
      </c>
    </row>
    <row r="13" spans="1:21" x14ac:dyDescent="0.25">
      <c r="A13" s="316" t="s">
        <v>796</v>
      </c>
      <c r="B13" s="317" t="s">
        <v>822</v>
      </c>
      <c r="C13" s="318">
        <v>0</v>
      </c>
    </row>
    <row r="14" spans="1:21" x14ac:dyDescent="0.25">
      <c r="A14" s="316" t="s">
        <v>797</v>
      </c>
      <c r="B14" s="317" t="s">
        <v>576</v>
      </c>
      <c r="C14" s="318">
        <f>MapaI!F35</f>
        <v>320025108</v>
      </c>
    </row>
    <row r="15" spans="1:21" x14ac:dyDescent="0.25">
      <c r="A15" s="316" t="s">
        <v>169</v>
      </c>
      <c r="B15" s="319" t="s">
        <v>823</v>
      </c>
      <c r="C15" s="318">
        <v>35241264</v>
      </c>
    </row>
    <row r="16" spans="1:21" x14ac:dyDescent="0.25">
      <c r="A16" s="316" t="s">
        <v>718</v>
      </c>
      <c r="B16" s="317" t="s">
        <v>667</v>
      </c>
      <c r="C16" s="318">
        <f>MapaI!E130</f>
        <v>108024804</v>
      </c>
    </row>
    <row r="17" spans="1:21" ht="8.25" hidden="1" customHeight="1" x14ac:dyDescent="0.25">
      <c r="A17" s="317"/>
      <c r="B17" s="318"/>
      <c r="C17" s="318"/>
    </row>
    <row r="18" spans="1:21" s="322" customFormat="1" ht="15.75" x14ac:dyDescent="0.25">
      <c r="A18" s="689" t="s">
        <v>798</v>
      </c>
      <c r="B18" s="690"/>
      <c r="C18" s="320">
        <f>SUM(C12:C17)</f>
        <v>481666176</v>
      </c>
      <c r="D18" s="321"/>
      <c r="E18" s="321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</row>
    <row r="19" spans="1:21" hidden="1" x14ac:dyDescent="0.25">
      <c r="A19" s="317"/>
      <c r="B19" s="323" t="s">
        <v>799</v>
      </c>
      <c r="C19" s="317"/>
    </row>
    <row r="20" spans="1:21" hidden="1" x14ac:dyDescent="0.25">
      <c r="A20" s="317"/>
      <c r="B20" s="317"/>
      <c r="C20" s="317"/>
    </row>
    <row r="21" spans="1:21" hidden="1" x14ac:dyDescent="0.25">
      <c r="A21" s="317"/>
      <c r="C21" s="318"/>
    </row>
    <row r="22" spans="1:21" hidden="1" x14ac:dyDescent="0.25">
      <c r="A22" s="317"/>
      <c r="B22" s="317"/>
      <c r="C22" s="318"/>
    </row>
    <row r="23" spans="1:21" hidden="1" x14ac:dyDescent="0.25">
      <c r="A23" s="317"/>
      <c r="B23" s="317"/>
      <c r="C23" s="318"/>
    </row>
    <row r="24" spans="1:21" s="322" customFormat="1" ht="15.75" hidden="1" x14ac:dyDescent="0.25">
      <c r="A24" s="324"/>
      <c r="B24" s="325" t="s">
        <v>800</v>
      </c>
      <c r="C24" s="326">
        <f>SUM(C19:C23)</f>
        <v>0</v>
      </c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</row>
    <row r="25" spans="1:21" x14ac:dyDescent="0.25">
      <c r="A25" s="696" t="s">
        <v>801</v>
      </c>
      <c r="B25" s="697"/>
      <c r="C25" s="698"/>
    </row>
    <row r="26" spans="1:21" x14ac:dyDescent="0.25">
      <c r="A26" s="316" t="s">
        <v>802</v>
      </c>
      <c r="B26" s="317" t="s">
        <v>950</v>
      </c>
      <c r="C26" s="327">
        <f>+MapaIII!D12</f>
        <v>129688012</v>
      </c>
    </row>
    <row r="27" spans="1:21" x14ac:dyDescent="0.25">
      <c r="A27" s="316" t="s">
        <v>803</v>
      </c>
      <c r="B27" s="317" t="s">
        <v>493</v>
      </c>
      <c r="C27" s="327">
        <f>+MapaIII!D13</f>
        <v>27399480</v>
      </c>
    </row>
    <row r="28" spans="1:21" x14ac:dyDescent="0.25">
      <c r="A28" s="316" t="s">
        <v>804</v>
      </c>
      <c r="B28" s="317" t="s">
        <v>556</v>
      </c>
      <c r="C28" s="327">
        <f>+MapaIII!D14</f>
        <v>9136765</v>
      </c>
    </row>
    <row r="29" spans="1:21" ht="15.75" customHeight="1" x14ac:dyDescent="0.25">
      <c r="A29" s="316" t="s">
        <v>805</v>
      </c>
      <c r="B29" s="317" t="s">
        <v>576</v>
      </c>
      <c r="C29" s="327">
        <f>+MapaIII!D15</f>
        <v>500000</v>
      </c>
    </row>
    <row r="30" spans="1:21" x14ac:dyDescent="0.25">
      <c r="A30" s="316" t="s">
        <v>806</v>
      </c>
      <c r="B30" s="317" t="s">
        <v>594</v>
      </c>
      <c r="C30" s="327">
        <f>+MapaIII!D16</f>
        <v>12825900</v>
      </c>
    </row>
    <row r="31" spans="1:21" x14ac:dyDescent="0.25">
      <c r="A31" s="316" t="s">
        <v>807</v>
      </c>
      <c r="B31" s="317" t="s">
        <v>609</v>
      </c>
      <c r="C31" s="327">
        <f>+MapaIII!D17</f>
        <v>4500000</v>
      </c>
    </row>
    <row r="32" spans="1:21" x14ac:dyDescent="0.25">
      <c r="A32" s="316" t="s">
        <v>718</v>
      </c>
      <c r="B32" s="317" t="s">
        <v>667</v>
      </c>
      <c r="C32" s="327">
        <v>0</v>
      </c>
    </row>
    <row r="33" spans="1:21" hidden="1" x14ac:dyDescent="0.25">
      <c r="A33" s="317"/>
      <c r="B33" s="317"/>
      <c r="C33" s="317"/>
    </row>
    <row r="34" spans="1:21" s="322" customFormat="1" ht="15.75" x14ac:dyDescent="0.25">
      <c r="A34" s="689" t="s">
        <v>808</v>
      </c>
      <c r="B34" s="690"/>
      <c r="C34" s="320">
        <f>SUM(C26:C33)</f>
        <v>184050157</v>
      </c>
      <c r="D34" s="321"/>
      <c r="E34" s="321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</row>
    <row r="35" spans="1:21" ht="15.75" x14ac:dyDescent="0.25">
      <c r="A35" s="691" t="s">
        <v>809</v>
      </c>
      <c r="B35" s="692"/>
      <c r="C35" s="693"/>
      <c r="D35" s="321">
        <f>+C34+C42</f>
        <v>455705157</v>
      </c>
    </row>
    <row r="36" spans="1:21" x14ac:dyDescent="0.25">
      <c r="A36" s="316">
        <v>1</v>
      </c>
      <c r="B36" s="317" t="s">
        <v>839</v>
      </c>
      <c r="C36" s="327">
        <f>+MapaX!I15</f>
        <v>1600000</v>
      </c>
      <c r="D36" s="328"/>
    </row>
    <row r="37" spans="1:21" x14ac:dyDescent="0.25">
      <c r="A37" s="316">
        <v>2</v>
      </c>
      <c r="B37" s="317" t="s">
        <v>846</v>
      </c>
      <c r="C37" s="327">
        <f>+MapaX!I22</f>
        <v>3300000</v>
      </c>
      <c r="D37" s="328">
        <f>+C34+C42</f>
        <v>455705157</v>
      </c>
    </row>
    <row r="38" spans="1:21" x14ac:dyDescent="0.25">
      <c r="A38" s="316">
        <v>3</v>
      </c>
      <c r="B38" s="329" t="s">
        <v>810</v>
      </c>
      <c r="C38" s="327">
        <f>+MapaX!I32</f>
        <v>19555000</v>
      </c>
      <c r="D38" s="328"/>
    </row>
    <row r="39" spans="1:21" x14ac:dyDescent="0.25">
      <c r="A39" s="316">
        <v>4</v>
      </c>
      <c r="B39" s="329" t="s">
        <v>811</v>
      </c>
      <c r="C39" s="327">
        <f>+MapaX!I58</f>
        <v>12700000</v>
      </c>
      <c r="D39" s="328"/>
    </row>
    <row r="40" spans="1:21" x14ac:dyDescent="0.25">
      <c r="A40" s="316">
        <v>5</v>
      </c>
      <c r="B40" s="329" t="s">
        <v>812</v>
      </c>
      <c r="C40" s="327">
        <f>+MapaX!I71</f>
        <v>220300000</v>
      </c>
      <c r="D40" s="328"/>
      <c r="F40" s="321"/>
    </row>
    <row r="41" spans="1:21" x14ac:dyDescent="0.25">
      <c r="A41" s="316">
        <v>6</v>
      </c>
      <c r="B41" s="329" t="s">
        <v>813</v>
      </c>
      <c r="C41" s="327">
        <f>+MapaX!I116</f>
        <v>14200000</v>
      </c>
      <c r="D41" s="328"/>
    </row>
    <row r="42" spans="1:21" s="322" customFormat="1" ht="15.75" x14ac:dyDescent="0.25">
      <c r="A42" s="689" t="s">
        <v>814</v>
      </c>
      <c r="B42" s="690"/>
      <c r="C42" s="330">
        <f>+C36+C37+C38+C39+C40+C41</f>
        <v>271655000</v>
      </c>
      <c r="D42" s="328"/>
      <c r="E42" s="321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</row>
    <row r="43" spans="1:21" ht="15.75" x14ac:dyDescent="0.25">
      <c r="A43" s="694" t="s">
        <v>815</v>
      </c>
      <c r="B43" s="695"/>
      <c r="C43" s="331">
        <f>+C42+C34</f>
        <v>455705157</v>
      </c>
    </row>
    <row r="44" spans="1:21" ht="15.75" x14ac:dyDescent="0.25">
      <c r="A44" s="332"/>
      <c r="B44" s="332"/>
      <c r="C44" s="333"/>
    </row>
    <row r="45" spans="1:21" s="309" customFormat="1" ht="5.25" customHeight="1" x14ac:dyDescent="0.25">
      <c r="A45" s="91"/>
      <c r="B45" s="334"/>
      <c r="C45" s="333"/>
    </row>
    <row r="46" spans="1:21" s="309" customFormat="1" x14ac:dyDescent="0.25">
      <c r="A46" s="661" t="s">
        <v>1132</v>
      </c>
      <c r="B46" s="661"/>
      <c r="C46" s="661"/>
    </row>
    <row r="47" spans="1:21" s="309" customFormat="1" x14ac:dyDescent="0.25">
      <c r="A47" s="335"/>
      <c r="B47" s="335"/>
      <c r="C47" s="335"/>
    </row>
    <row r="48" spans="1:21" s="309" customFormat="1" x14ac:dyDescent="0.25">
      <c r="A48" s="335"/>
      <c r="B48" s="335"/>
      <c r="C48" s="335"/>
    </row>
    <row r="49" spans="1:16" s="309" customFormat="1" x14ac:dyDescent="0.25">
      <c r="A49" s="662" t="s">
        <v>377</v>
      </c>
      <c r="B49" s="662"/>
      <c r="C49" s="662"/>
    </row>
    <row r="50" spans="1:16" s="309" customFormat="1" x14ac:dyDescent="0.25">
      <c r="A50" s="336"/>
      <c r="B50" s="336"/>
      <c r="C50" s="336"/>
    </row>
    <row r="51" spans="1:16" x14ac:dyDescent="0.25">
      <c r="A51" s="663" t="s">
        <v>378</v>
      </c>
      <c r="B51" s="663"/>
      <c r="C51" s="663"/>
    </row>
    <row r="52" spans="1:16" x14ac:dyDescent="0.25">
      <c r="A52" s="664" t="s">
        <v>379</v>
      </c>
      <c r="B52" s="664"/>
      <c r="C52" s="664"/>
    </row>
    <row r="53" spans="1:16" x14ac:dyDescent="0.25">
      <c r="A53" s="642"/>
      <c r="B53" s="642"/>
      <c r="C53" s="642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</row>
    <row r="54" spans="1:16" x14ac:dyDescent="0.2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</row>
    <row r="55" spans="1:16" x14ac:dyDescent="0.25">
      <c r="A55" s="643"/>
      <c r="B55" s="643"/>
      <c r="C55" s="643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</row>
    <row r="56" spans="1:16" x14ac:dyDescent="0.25">
      <c r="A56" s="92"/>
      <c r="B56" s="267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</row>
    <row r="57" spans="1:16" x14ac:dyDescent="0.25">
      <c r="A57" s="663"/>
      <c r="B57" s="663"/>
      <c r="C57" s="663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</row>
    <row r="58" spans="1:16" x14ac:dyDescent="0.25">
      <c r="A58" s="645"/>
      <c r="B58" s="645"/>
      <c r="C58" s="64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</row>
    <row r="59" spans="1:16" x14ac:dyDescent="0.25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</row>
  </sheetData>
  <mergeCells count="18">
    <mergeCell ref="A25:C25"/>
    <mergeCell ref="A5:C5"/>
    <mergeCell ref="A6:C6"/>
    <mergeCell ref="A7:C9"/>
    <mergeCell ref="D7:E9"/>
    <mergeCell ref="A18:B18"/>
    <mergeCell ref="A58:C58"/>
    <mergeCell ref="A34:B34"/>
    <mergeCell ref="A35:C35"/>
    <mergeCell ref="A42:B42"/>
    <mergeCell ref="A43:B43"/>
    <mergeCell ref="A46:C46"/>
    <mergeCell ref="A49:C49"/>
    <mergeCell ref="A51:C51"/>
    <mergeCell ref="A52:C52"/>
    <mergeCell ref="A53:C53"/>
    <mergeCell ref="A55:C55"/>
    <mergeCell ref="A57:C57"/>
  </mergeCells>
  <pageMargins left="0.9055118110236221" right="0.31496062992125984" top="0.74803149606299213" bottom="0.35433070866141736" header="0.31496062992125984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90"/>
  <sheetViews>
    <sheetView workbookViewId="0">
      <selection activeCell="E86" sqref="E86"/>
    </sheetView>
  </sheetViews>
  <sheetFormatPr defaultRowHeight="15" x14ac:dyDescent="0.25"/>
  <cols>
    <col min="1" max="1" width="19.5703125" style="132" customWidth="1"/>
    <col min="2" max="2" width="22.140625" style="132" customWidth="1"/>
    <col min="3" max="3" width="74.7109375" style="132" customWidth="1"/>
    <col min="4" max="5" width="20.5703125" style="132" customWidth="1"/>
    <col min="6" max="6" width="17.28515625" style="132" customWidth="1"/>
    <col min="7" max="7" width="21" style="132" customWidth="1"/>
    <col min="8" max="16384" width="9.140625" style="132"/>
  </cols>
  <sheetData>
    <row r="4" spans="1:9" x14ac:dyDescent="0.25">
      <c r="A4" s="132" t="s">
        <v>394</v>
      </c>
    </row>
    <row r="5" spans="1:9" x14ac:dyDescent="0.25">
      <c r="A5" s="132" t="s">
        <v>2</v>
      </c>
    </row>
    <row r="6" spans="1:9" x14ac:dyDescent="0.25">
      <c r="A6" s="371" t="s">
        <v>827</v>
      </c>
      <c r="B6" s="371"/>
      <c r="C6" s="371"/>
    </row>
    <row r="7" spans="1:9" x14ac:dyDescent="0.25">
      <c r="A7" s="372" t="s">
        <v>697</v>
      </c>
      <c r="B7" s="372" t="s">
        <v>698</v>
      </c>
      <c r="C7" s="372" t="s">
        <v>396</v>
      </c>
      <c r="D7" s="372" t="s">
        <v>699</v>
      </c>
      <c r="E7" s="372"/>
      <c r="F7" s="372" t="s">
        <v>429</v>
      </c>
      <c r="G7" s="372" t="s">
        <v>700</v>
      </c>
    </row>
    <row r="8" spans="1:9" x14ac:dyDescent="0.25">
      <c r="A8" s="372"/>
      <c r="B8" s="372"/>
      <c r="C8" s="372"/>
      <c r="D8" s="372" t="s">
        <v>701</v>
      </c>
      <c r="E8" s="372" t="s">
        <v>702</v>
      </c>
      <c r="F8" s="372"/>
      <c r="G8" s="372"/>
    </row>
    <row r="9" spans="1:9" ht="15.75" x14ac:dyDescent="0.25">
      <c r="A9" s="237" t="s">
        <v>703</v>
      </c>
      <c r="B9" s="237"/>
      <c r="C9" s="237"/>
      <c r="D9" s="237">
        <f>+D10</f>
        <v>184050157</v>
      </c>
      <c r="E9" s="237">
        <f>SUM(E10:E82)</f>
        <v>271655000</v>
      </c>
      <c r="F9" s="237">
        <f>+SUM(D9:E9)</f>
        <v>455705157</v>
      </c>
      <c r="G9" s="373">
        <f>+F10/$F$9</f>
        <v>0.40387990825392395</v>
      </c>
    </row>
    <row r="10" spans="1:9" x14ac:dyDescent="0.25">
      <c r="A10" s="317" t="s">
        <v>704</v>
      </c>
      <c r="B10" s="317"/>
      <c r="C10" s="317" t="s">
        <v>705</v>
      </c>
      <c r="D10" s="374">
        <f>+MapaIII!D11</f>
        <v>184050157</v>
      </c>
      <c r="E10" s="374"/>
      <c r="F10" s="374">
        <f>+SUM(D10:E10)</f>
        <v>184050157</v>
      </c>
      <c r="G10" s="375">
        <f t="shared" ref="G10:G73" si="0">+F11/$F$9</f>
        <v>0.28458754527546415</v>
      </c>
    </row>
    <row r="11" spans="1:9" x14ac:dyDescent="0.25">
      <c r="A11" s="317" t="s">
        <v>706</v>
      </c>
      <c r="B11" s="317"/>
      <c r="C11" s="317" t="s">
        <v>707</v>
      </c>
      <c r="D11" s="374">
        <f>+MapaIII!D12</f>
        <v>129688012</v>
      </c>
      <c r="E11" s="374"/>
      <c r="F11" s="374">
        <f t="shared" ref="F11:F19" si="1">+SUM(D11:E11)</f>
        <v>129688012</v>
      </c>
      <c r="G11" s="375">
        <f t="shared" si="0"/>
        <v>6.0125455196461598E-2</v>
      </c>
    </row>
    <row r="12" spans="1:9" x14ac:dyDescent="0.25">
      <c r="A12" s="317" t="s">
        <v>708</v>
      </c>
      <c r="B12" s="317" t="s">
        <v>424</v>
      </c>
      <c r="C12" s="317" t="s">
        <v>709</v>
      </c>
      <c r="D12" s="374">
        <f>+MapaIII!D13</f>
        <v>27399480</v>
      </c>
      <c r="E12" s="374"/>
      <c r="F12" s="374">
        <f t="shared" si="1"/>
        <v>27399480</v>
      </c>
      <c r="G12" s="375">
        <f t="shared" si="0"/>
        <v>2.0049729215594548E-2</v>
      </c>
    </row>
    <row r="13" spans="1:9" x14ac:dyDescent="0.25">
      <c r="A13" s="317" t="s">
        <v>710</v>
      </c>
      <c r="B13" s="317" t="s">
        <v>492</v>
      </c>
      <c r="C13" s="317" t="s">
        <v>493</v>
      </c>
      <c r="D13" s="374">
        <f>+MapaIII!D14</f>
        <v>9136765</v>
      </c>
      <c r="E13" s="374"/>
      <c r="F13" s="374">
        <f t="shared" si="1"/>
        <v>9136765</v>
      </c>
      <c r="G13" s="375">
        <f t="shared" si="0"/>
        <v>1.0972006621377778E-3</v>
      </c>
    </row>
    <row r="14" spans="1:9" x14ac:dyDescent="0.25">
      <c r="A14" s="317" t="s">
        <v>711</v>
      </c>
      <c r="B14" s="317" t="s">
        <v>555</v>
      </c>
      <c r="C14" s="317" t="s">
        <v>556</v>
      </c>
      <c r="D14" s="374">
        <f>+MapaIII!D15</f>
        <v>500000</v>
      </c>
      <c r="E14" s="374"/>
      <c r="F14" s="374">
        <f t="shared" si="1"/>
        <v>500000</v>
      </c>
      <c r="G14" s="375">
        <f t="shared" si="0"/>
        <v>2.8145171945025849E-2</v>
      </c>
    </row>
    <row r="15" spans="1:9" x14ac:dyDescent="0.25">
      <c r="A15" s="317" t="s">
        <v>712</v>
      </c>
      <c r="B15" s="317" t="s">
        <v>575</v>
      </c>
      <c r="C15" s="317" t="s">
        <v>713</v>
      </c>
      <c r="D15" s="374">
        <f>+MapaIII!D16</f>
        <v>12825900</v>
      </c>
      <c r="E15" s="374"/>
      <c r="F15" s="374">
        <f t="shared" si="1"/>
        <v>12825900</v>
      </c>
      <c r="G15" s="375">
        <f t="shared" si="0"/>
        <v>9.8748059592400003E-3</v>
      </c>
    </row>
    <row r="16" spans="1:9" x14ac:dyDescent="0.25">
      <c r="A16" s="317" t="s">
        <v>714</v>
      </c>
      <c r="B16" s="317" t="s">
        <v>593</v>
      </c>
      <c r="C16" s="317" t="s">
        <v>594</v>
      </c>
      <c r="D16" s="374">
        <f>+MapaIII!D17</f>
        <v>4500000</v>
      </c>
      <c r="E16" s="374"/>
      <c r="F16" s="374">
        <f t="shared" si="1"/>
        <v>4500000</v>
      </c>
      <c r="G16" s="375">
        <f t="shared" si="0"/>
        <v>0</v>
      </c>
      <c r="I16" s="376"/>
    </row>
    <row r="17" spans="1:7" x14ac:dyDescent="0.25">
      <c r="A17" s="317" t="s">
        <v>715</v>
      </c>
      <c r="B17" s="317" t="s">
        <v>716</v>
      </c>
      <c r="C17" s="317" t="s">
        <v>717</v>
      </c>
      <c r="D17" s="374">
        <f>+MapaIII!D18</f>
        <v>0</v>
      </c>
      <c r="E17" s="374"/>
      <c r="F17" s="374">
        <f t="shared" si="1"/>
        <v>0</v>
      </c>
      <c r="G17" s="375">
        <f t="shared" si="0"/>
        <v>0</v>
      </c>
    </row>
    <row r="18" spans="1:7" x14ac:dyDescent="0.25">
      <c r="A18" s="317" t="s">
        <v>715</v>
      </c>
      <c r="B18" s="317" t="s">
        <v>718</v>
      </c>
      <c r="C18" s="317" t="s">
        <v>719</v>
      </c>
      <c r="D18" s="374"/>
      <c r="E18" s="374"/>
      <c r="F18" s="374">
        <f t="shared" si="1"/>
        <v>0</v>
      </c>
      <c r="G18" s="375">
        <f t="shared" si="0"/>
        <v>0</v>
      </c>
    </row>
    <row r="19" spans="1:7" x14ac:dyDescent="0.25">
      <c r="A19" s="317" t="s">
        <v>720</v>
      </c>
      <c r="B19" s="317"/>
      <c r="C19" s="317" t="s">
        <v>721</v>
      </c>
      <c r="D19" s="374"/>
      <c r="E19" s="374"/>
      <c r="F19" s="374">
        <f t="shared" si="1"/>
        <v>0</v>
      </c>
      <c r="G19" s="375">
        <f t="shared" si="0"/>
        <v>3.2916019864133333E-3</v>
      </c>
    </row>
    <row r="20" spans="1:7" x14ac:dyDescent="0.25">
      <c r="A20" s="317" t="s">
        <v>722</v>
      </c>
      <c r="B20" s="317" t="s">
        <v>487</v>
      </c>
      <c r="C20" s="317" t="s">
        <v>907</v>
      </c>
      <c r="D20" s="374"/>
      <c r="E20" s="374">
        <f>+MapaIII!E20</f>
        <v>1500000</v>
      </c>
      <c r="F20" s="374">
        <f>+SUM(D20:E20)</f>
        <v>1500000</v>
      </c>
      <c r="G20" s="375">
        <f t="shared" si="0"/>
        <v>2.1944013242755557E-4</v>
      </c>
    </row>
    <row r="21" spans="1:7" x14ac:dyDescent="0.25">
      <c r="A21" s="317" t="s">
        <v>722</v>
      </c>
      <c r="B21" s="317" t="s">
        <v>434</v>
      </c>
      <c r="C21" s="317" t="s">
        <v>723</v>
      </c>
      <c r="D21" s="374"/>
      <c r="E21" s="374">
        <f>+MapaIII!E21</f>
        <v>100000</v>
      </c>
      <c r="F21" s="374">
        <f t="shared" ref="F21:F82" si="2">+SUM(D21:E21)</f>
        <v>100000</v>
      </c>
      <c r="G21" s="375">
        <f t="shared" si="0"/>
        <v>0</v>
      </c>
    </row>
    <row r="22" spans="1:7" x14ac:dyDescent="0.25">
      <c r="A22" s="317" t="s">
        <v>724</v>
      </c>
      <c r="B22" s="317"/>
      <c r="C22" s="317" t="s">
        <v>725</v>
      </c>
      <c r="D22" s="374"/>
      <c r="E22" s="374"/>
      <c r="F22" s="374">
        <f t="shared" si="2"/>
        <v>0</v>
      </c>
      <c r="G22" s="375">
        <f t="shared" si="0"/>
        <v>8.777605297102223E-4</v>
      </c>
    </row>
    <row r="23" spans="1:7" x14ac:dyDescent="0.25">
      <c r="A23" s="317" t="s">
        <v>726</v>
      </c>
      <c r="B23" s="317" t="s">
        <v>451</v>
      </c>
      <c r="C23" s="317" t="s">
        <v>727</v>
      </c>
      <c r="D23" s="374"/>
      <c r="E23" s="374">
        <f>+MapaIII!E23</f>
        <v>400000</v>
      </c>
      <c r="F23" s="374">
        <f t="shared" si="2"/>
        <v>400000</v>
      </c>
      <c r="G23" s="375">
        <f t="shared" si="0"/>
        <v>2.4138414567031114E-3</v>
      </c>
    </row>
    <row r="24" spans="1:7" x14ac:dyDescent="0.25">
      <c r="A24" s="317" t="s">
        <v>726</v>
      </c>
      <c r="B24" s="317" t="s">
        <v>451</v>
      </c>
      <c r="C24" s="317" t="s">
        <v>871</v>
      </c>
      <c r="D24" s="374"/>
      <c r="E24" s="374">
        <f>+MapaIII!E24</f>
        <v>1100000</v>
      </c>
      <c r="F24" s="374">
        <f t="shared" si="2"/>
        <v>1100000</v>
      </c>
      <c r="G24" s="375">
        <f t="shared" si="0"/>
        <v>1.0972006621377778E-3</v>
      </c>
    </row>
    <row r="25" spans="1:7" x14ac:dyDescent="0.25">
      <c r="A25" s="317" t="s">
        <v>726</v>
      </c>
      <c r="B25" s="317" t="s">
        <v>451</v>
      </c>
      <c r="C25" s="317" t="s">
        <v>728</v>
      </c>
      <c r="D25" s="374"/>
      <c r="E25" s="374">
        <f>+MapaIII!E25</f>
        <v>500000</v>
      </c>
      <c r="F25" s="374">
        <f t="shared" si="2"/>
        <v>500000</v>
      </c>
      <c r="G25" s="375">
        <f t="shared" si="0"/>
        <v>2.1944013242755555E-3</v>
      </c>
    </row>
    <row r="26" spans="1:7" x14ac:dyDescent="0.25">
      <c r="A26" s="317" t="s">
        <v>729</v>
      </c>
      <c r="B26" s="317" t="s">
        <v>730</v>
      </c>
      <c r="C26" s="317" t="s">
        <v>731</v>
      </c>
      <c r="D26" s="374"/>
      <c r="E26" s="374">
        <f>+MapaIII!E26</f>
        <v>1000000</v>
      </c>
      <c r="F26" s="374">
        <f t="shared" si="2"/>
        <v>1000000</v>
      </c>
      <c r="G26" s="375">
        <f t="shared" si="0"/>
        <v>4.3888026485511111E-3</v>
      </c>
    </row>
    <row r="27" spans="1:7" x14ac:dyDescent="0.25">
      <c r="A27" s="317" t="s">
        <v>729</v>
      </c>
      <c r="B27" s="317" t="s">
        <v>730</v>
      </c>
      <c r="C27" s="317" t="s">
        <v>850</v>
      </c>
      <c r="D27" s="374"/>
      <c r="E27" s="374">
        <f>+MapaIII!E27</f>
        <v>2000000</v>
      </c>
      <c r="F27" s="374">
        <f t="shared" si="2"/>
        <v>2000000</v>
      </c>
      <c r="G27" s="375">
        <f t="shared" si="0"/>
        <v>3.7304822512684447E-3</v>
      </c>
    </row>
    <row r="28" spans="1:7" x14ac:dyDescent="0.25">
      <c r="A28" s="317" t="s">
        <v>732</v>
      </c>
      <c r="B28" s="317" t="s">
        <v>471</v>
      </c>
      <c r="C28" s="317" t="s">
        <v>733</v>
      </c>
      <c r="D28" s="374"/>
      <c r="E28" s="374">
        <f>+MapaIII!E28</f>
        <v>1700000</v>
      </c>
      <c r="F28" s="374">
        <f t="shared" si="2"/>
        <v>1700000</v>
      </c>
      <c r="G28" s="375">
        <f t="shared" si="0"/>
        <v>2.6332815891306669E-3</v>
      </c>
    </row>
    <row r="29" spans="1:7" x14ac:dyDescent="0.25">
      <c r="A29" s="317" t="s">
        <v>732</v>
      </c>
      <c r="B29" s="317" t="s">
        <v>471</v>
      </c>
      <c r="C29" s="317" t="s">
        <v>1026</v>
      </c>
      <c r="D29" s="374"/>
      <c r="E29" s="374">
        <f>+MapaIII!E29</f>
        <v>1200000</v>
      </c>
      <c r="F29" s="374">
        <f t="shared" si="2"/>
        <v>1200000</v>
      </c>
      <c r="G29" s="375">
        <f t="shared" si="0"/>
        <v>6.5832039728266666E-3</v>
      </c>
    </row>
    <row r="30" spans="1:7" x14ac:dyDescent="0.25">
      <c r="A30" s="317" t="s">
        <v>734</v>
      </c>
      <c r="B30" s="317" t="s">
        <v>471</v>
      </c>
      <c r="C30" s="317" t="s">
        <v>735</v>
      </c>
      <c r="D30" s="374"/>
      <c r="E30" s="374">
        <f>+MapaIII!E30</f>
        <v>3000000</v>
      </c>
      <c r="F30" s="374">
        <f t="shared" si="2"/>
        <v>3000000</v>
      </c>
      <c r="G30" s="375">
        <f t="shared" si="0"/>
        <v>1.0972006621377779E-2</v>
      </c>
    </row>
    <row r="31" spans="1:7" x14ac:dyDescent="0.25">
      <c r="A31" s="317" t="s">
        <v>736</v>
      </c>
      <c r="B31" s="317" t="s">
        <v>471</v>
      </c>
      <c r="C31" s="317" t="s">
        <v>737</v>
      </c>
      <c r="D31" s="374"/>
      <c r="E31" s="374">
        <f>+MapaIII!E31</f>
        <v>5000000</v>
      </c>
      <c r="F31" s="374">
        <f t="shared" si="2"/>
        <v>5000000</v>
      </c>
      <c r="G31" s="375">
        <f t="shared" si="0"/>
        <v>0</v>
      </c>
    </row>
    <row r="32" spans="1:7" x14ac:dyDescent="0.25">
      <c r="A32" s="317" t="s">
        <v>738</v>
      </c>
      <c r="B32" s="317"/>
      <c r="C32" s="317" t="s">
        <v>739</v>
      </c>
      <c r="D32" s="374"/>
      <c r="E32" s="374"/>
      <c r="F32" s="374">
        <f t="shared" si="2"/>
        <v>0</v>
      </c>
      <c r="G32" s="375">
        <f t="shared" si="0"/>
        <v>2.1944013242755555E-3</v>
      </c>
    </row>
    <row r="33" spans="1:7" x14ac:dyDescent="0.25">
      <c r="A33" s="317" t="s">
        <v>740</v>
      </c>
      <c r="B33" s="317" t="s">
        <v>471</v>
      </c>
      <c r="C33" s="317" t="s">
        <v>741</v>
      </c>
      <c r="D33" s="374"/>
      <c r="E33" s="374">
        <f>+MapaIII!E33</f>
        <v>1000000</v>
      </c>
      <c r="F33" s="374">
        <f t="shared" si="2"/>
        <v>1000000</v>
      </c>
      <c r="G33" s="375">
        <f t="shared" si="0"/>
        <v>8.7776052971022221E-3</v>
      </c>
    </row>
    <row r="34" spans="1:7" x14ac:dyDescent="0.25">
      <c r="A34" s="317" t="s">
        <v>742</v>
      </c>
      <c r="B34" s="317" t="s">
        <v>451</v>
      </c>
      <c r="C34" s="317" t="s">
        <v>743</v>
      </c>
      <c r="D34" s="374"/>
      <c r="E34" s="374">
        <f>+MapaIII!E34</f>
        <v>4000000</v>
      </c>
      <c r="F34" s="374">
        <f t="shared" si="2"/>
        <v>4000000</v>
      </c>
      <c r="G34" s="375">
        <f t="shared" si="0"/>
        <v>8.7776052971022221E-3</v>
      </c>
    </row>
    <row r="35" spans="1:7" x14ac:dyDescent="0.25">
      <c r="A35" s="317" t="s">
        <v>742</v>
      </c>
      <c r="B35" s="317" t="s">
        <v>487</v>
      </c>
      <c r="C35" s="317" t="s">
        <v>744</v>
      </c>
      <c r="D35" s="374"/>
      <c r="E35" s="374">
        <f>+MapaIII!E35</f>
        <v>4000000</v>
      </c>
      <c r="F35" s="374">
        <f t="shared" si="2"/>
        <v>4000000</v>
      </c>
      <c r="G35" s="375">
        <f t="shared" si="0"/>
        <v>6.1443237079715557E-3</v>
      </c>
    </row>
    <row r="36" spans="1:7" x14ac:dyDescent="0.25">
      <c r="A36" s="317" t="s">
        <v>742</v>
      </c>
      <c r="B36" s="317" t="s">
        <v>487</v>
      </c>
      <c r="C36" s="317" t="s">
        <v>898</v>
      </c>
      <c r="D36" s="374"/>
      <c r="E36" s="374">
        <f>+MapaIII!E36</f>
        <v>2800000</v>
      </c>
      <c r="F36" s="374">
        <f t="shared" si="2"/>
        <v>2800000</v>
      </c>
      <c r="G36" s="375">
        <f t="shared" si="0"/>
        <v>2.1944013242755555E-3</v>
      </c>
    </row>
    <row r="37" spans="1:7" x14ac:dyDescent="0.25">
      <c r="A37" s="317" t="s">
        <v>742</v>
      </c>
      <c r="B37" s="317" t="s">
        <v>471</v>
      </c>
      <c r="C37" s="317" t="s">
        <v>745</v>
      </c>
      <c r="D37" s="374"/>
      <c r="E37" s="374">
        <f>+MapaIII!E37</f>
        <v>1000000</v>
      </c>
      <c r="F37" s="374">
        <f t="shared" si="2"/>
        <v>1000000</v>
      </c>
      <c r="G37" s="375">
        <f t="shared" si="0"/>
        <v>3.2916019864133332E-2</v>
      </c>
    </row>
    <row r="38" spans="1:7" x14ac:dyDescent="0.25">
      <c r="A38" s="317" t="s">
        <v>742</v>
      </c>
      <c r="B38" s="317" t="s">
        <v>451</v>
      </c>
      <c r="C38" s="317" t="s">
        <v>746</v>
      </c>
      <c r="D38" s="374"/>
      <c r="E38" s="374">
        <f>+MapaIII!E38</f>
        <v>15000000</v>
      </c>
      <c r="F38" s="374">
        <f t="shared" si="2"/>
        <v>15000000</v>
      </c>
      <c r="G38" s="375">
        <f t="shared" si="0"/>
        <v>0</v>
      </c>
    </row>
    <row r="39" spans="1:7" x14ac:dyDescent="0.25">
      <c r="A39" s="317" t="s">
        <v>747</v>
      </c>
      <c r="B39" s="317"/>
      <c r="C39" s="317" t="s">
        <v>748</v>
      </c>
      <c r="D39" s="374"/>
      <c r="E39" s="374"/>
      <c r="F39" s="374">
        <f t="shared" si="2"/>
        <v>0</v>
      </c>
      <c r="G39" s="375">
        <f t="shared" si="0"/>
        <v>3.2916019864133333E-3</v>
      </c>
    </row>
    <row r="40" spans="1:7" x14ac:dyDescent="0.25">
      <c r="A40" s="317" t="s">
        <v>749</v>
      </c>
      <c r="B40" s="317" t="s">
        <v>466</v>
      </c>
      <c r="C40" s="317" t="s">
        <v>750</v>
      </c>
      <c r="D40" s="374"/>
      <c r="E40" s="374">
        <f>+MapaIII!E40</f>
        <v>1500000</v>
      </c>
      <c r="F40" s="374">
        <f t="shared" si="2"/>
        <v>1500000</v>
      </c>
      <c r="G40" s="375">
        <f t="shared" si="0"/>
        <v>3.2916019864133333E-3</v>
      </c>
    </row>
    <row r="41" spans="1:7" x14ac:dyDescent="0.25">
      <c r="A41" s="317" t="s">
        <v>749</v>
      </c>
      <c r="B41" s="317" t="s">
        <v>471</v>
      </c>
      <c r="C41" s="317" t="s">
        <v>1031</v>
      </c>
      <c r="D41" s="374"/>
      <c r="E41" s="374">
        <f>+MapaIII!E41</f>
        <v>1500000</v>
      </c>
      <c r="F41" s="374">
        <f t="shared" si="2"/>
        <v>1500000</v>
      </c>
      <c r="G41" s="375">
        <f t="shared" si="0"/>
        <v>7.033056244303156E-3</v>
      </c>
    </row>
    <row r="42" spans="1:7" x14ac:dyDescent="0.25">
      <c r="A42" s="317" t="s">
        <v>749</v>
      </c>
      <c r="B42" s="317" t="s">
        <v>471</v>
      </c>
      <c r="C42" s="317" t="s">
        <v>866</v>
      </c>
      <c r="D42" s="374"/>
      <c r="E42" s="374">
        <f>+MapaIII!E42</f>
        <v>3205000</v>
      </c>
      <c r="F42" s="374">
        <f t="shared" si="2"/>
        <v>3205000</v>
      </c>
      <c r="G42" s="375">
        <f t="shared" si="0"/>
        <v>4.3888026485511111E-3</v>
      </c>
    </row>
    <row r="43" spans="1:7" x14ac:dyDescent="0.25">
      <c r="A43" s="317" t="s">
        <v>749</v>
      </c>
      <c r="B43" s="317" t="s">
        <v>471</v>
      </c>
      <c r="C43" s="317" t="s">
        <v>1027</v>
      </c>
      <c r="D43" s="374"/>
      <c r="E43" s="374">
        <f>+MapaIII!E43</f>
        <v>2000000</v>
      </c>
      <c r="F43" s="374">
        <f t="shared" si="2"/>
        <v>2000000</v>
      </c>
      <c r="G43" s="375">
        <f t="shared" si="0"/>
        <v>5.4860033106888893E-3</v>
      </c>
    </row>
    <row r="44" spans="1:7" x14ac:dyDescent="0.25">
      <c r="A44" s="317" t="s">
        <v>749</v>
      </c>
      <c r="B44" s="317" t="s">
        <v>471</v>
      </c>
      <c r="C44" s="317" t="s">
        <v>892</v>
      </c>
      <c r="D44" s="374"/>
      <c r="E44" s="374">
        <f>+MapaIII!E44</f>
        <v>2500000</v>
      </c>
      <c r="F44" s="374">
        <f t="shared" si="2"/>
        <v>2500000</v>
      </c>
      <c r="G44" s="375">
        <f t="shared" si="0"/>
        <v>1.9749611918480001E-2</v>
      </c>
    </row>
    <row r="45" spans="1:7" x14ac:dyDescent="0.25">
      <c r="A45" s="317" t="s">
        <v>749</v>
      </c>
      <c r="B45" s="317" t="s">
        <v>471</v>
      </c>
      <c r="C45" s="317" t="s">
        <v>1032</v>
      </c>
      <c r="D45" s="374"/>
      <c r="E45" s="374">
        <f>+MapaIII!E45</f>
        <v>9000000</v>
      </c>
      <c r="F45" s="374">
        <f t="shared" si="2"/>
        <v>9000000</v>
      </c>
      <c r="G45" s="375">
        <f t="shared" si="0"/>
        <v>2.1944013242755555E-3</v>
      </c>
    </row>
    <row r="46" spans="1:7" x14ac:dyDescent="0.25">
      <c r="A46" s="317" t="s">
        <v>749</v>
      </c>
      <c r="B46" s="317" t="s">
        <v>471</v>
      </c>
      <c r="C46" s="317" t="s">
        <v>911</v>
      </c>
      <c r="D46" s="374"/>
      <c r="E46" s="374">
        <f>+MapaIII!E46</f>
        <v>1000000</v>
      </c>
      <c r="F46" s="374">
        <f t="shared" si="2"/>
        <v>1000000</v>
      </c>
      <c r="G46" s="375">
        <f t="shared" si="0"/>
        <v>1.0972006621377779E-2</v>
      </c>
    </row>
    <row r="47" spans="1:7" x14ac:dyDescent="0.25">
      <c r="A47" s="317" t="s">
        <v>749</v>
      </c>
      <c r="B47" s="317" t="s">
        <v>471</v>
      </c>
      <c r="C47" s="317" t="s">
        <v>915</v>
      </c>
      <c r="D47" s="374"/>
      <c r="E47" s="374">
        <f>+MapaIII!E47</f>
        <v>5000000</v>
      </c>
      <c r="F47" s="374">
        <f t="shared" si="2"/>
        <v>5000000</v>
      </c>
      <c r="G47" s="375">
        <f t="shared" si="0"/>
        <v>3.7304822512684445E-2</v>
      </c>
    </row>
    <row r="48" spans="1:7" x14ac:dyDescent="0.25">
      <c r="A48" s="317" t="s">
        <v>749</v>
      </c>
      <c r="B48" s="317" t="s">
        <v>471</v>
      </c>
      <c r="C48" s="317" t="s">
        <v>916</v>
      </c>
      <c r="D48" s="374"/>
      <c r="E48" s="374">
        <f>+MapaIII!E48</f>
        <v>17000000</v>
      </c>
      <c r="F48" s="374">
        <f t="shared" si="2"/>
        <v>17000000</v>
      </c>
      <c r="G48" s="375">
        <f t="shared" si="0"/>
        <v>1.7555210594204444E-2</v>
      </c>
    </row>
    <row r="49" spans="1:7" x14ac:dyDescent="0.25">
      <c r="A49" s="317" t="s">
        <v>749</v>
      </c>
      <c r="B49" s="317" t="s">
        <v>471</v>
      </c>
      <c r="C49" s="317" t="s">
        <v>1028</v>
      </c>
      <c r="D49" s="374"/>
      <c r="E49" s="374">
        <f>+MapaIII!E49</f>
        <v>8000000</v>
      </c>
      <c r="F49" s="374">
        <f t="shared" si="2"/>
        <v>8000000</v>
      </c>
      <c r="G49" s="375">
        <f t="shared" si="0"/>
        <v>2.6332815891306666E-2</v>
      </c>
    </row>
    <row r="50" spans="1:7" x14ac:dyDescent="0.25">
      <c r="A50" s="317" t="s">
        <v>749</v>
      </c>
      <c r="B50" s="317" t="s">
        <v>471</v>
      </c>
      <c r="C50" s="317" t="s">
        <v>919</v>
      </c>
      <c r="D50" s="374"/>
      <c r="E50" s="374">
        <f>+MapaIII!E50</f>
        <v>12000000</v>
      </c>
      <c r="F50" s="374">
        <f t="shared" si="2"/>
        <v>12000000</v>
      </c>
      <c r="G50" s="375">
        <f t="shared" si="0"/>
        <v>7.6804046349644448E-3</v>
      </c>
    </row>
    <row r="51" spans="1:7" x14ac:dyDescent="0.25">
      <c r="A51" s="317" t="s">
        <v>749</v>
      </c>
      <c r="B51" s="317" t="s">
        <v>471</v>
      </c>
      <c r="C51" s="317" t="s">
        <v>920</v>
      </c>
      <c r="D51" s="374"/>
      <c r="E51" s="374">
        <f>+MapaIII!E51</f>
        <v>3500000</v>
      </c>
      <c r="F51" s="374">
        <f t="shared" si="2"/>
        <v>3500000</v>
      </c>
      <c r="G51" s="375">
        <f t="shared" si="0"/>
        <v>4.3888026485511114E-2</v>
      </c>
    </row>
    <row r="52" spans="1:7" x14ac:dyDescent="0.25">
      <c r="A52" s="317" t="s">
        <v>749</v>
      </c>
      <c r="B52" s="317" t="s">
        <v>471</v>
      </c>
      <c r="C52" s="317" t="s">
        <v>921</v>
      </c>
      <c r="D52" s="374"/>
      <c r="E52" s="374">
        <f>+MapaIII!E52</f>
        <v>20000000</v>
      </c>
      <c r="F52" s="374">
        <f t="shared" si="2"/>
        <v>20000000</v>
      </c>
      <c r="G52" s="375">
        <f t="shared" si="0"/>
        <v>3.2916019864133333E-3</v>
      </c>
    </row>
    <row r="53" spans="1:7" x14ac:dyDescent="0.25">
      <c r="A53" s="317" t="s">
        <v>749</v>
      </c>
      <c r="B53" s="317" t="s">
        <v>471</v>
      </c>
      <c r="C53" s="317" t="s">
        <v>1029</v>
      </c>
      <c r="D53" s="374"/>
      <c r="E53" s="374">
        <f>+MapaIII!E53</f>
        <v>1500000</v>
      </c>
      <c r="F53" s="374">
        <f t="shared" si="2"/>
        <v>1500000</v>
      </c>
      <c r="G53" s="375">
        <f t="shared" si="0"/>
        <v>7.0220842376817777E-2</v>
      </c>
    </row>
    <row r="54" spans="1:7" x14ac:dyDescent="0.25">
      <c r="A54" s="317" t="s">
        <v>749</v>
      </c>
      <c r="B54" s="317" t="s">
        <v>471</v>
      </c>
      <c r="C54" s="317" t="s">
        <v>923</v>
      </c>
      <c r="D54" s="374"/>
      <c r="E54" s="374">
        <f>+MapaIII!E54</f>
        <v>32000000</v>
      </c>
      <c r="F54" s="374">
        <f t="shared" si="2"/>
        <v>32000000</v>
      </c>
      <c r="G54" s="375">
        <f t="shared" si="0"/>
        <v>3.1818819201995557E-2</v>
      </c>
    </row>
    <row r="55" spans="1:7" x14ac:dyDescent="0.25">
      <c r="A55" s="317" t="s">
        <v>749</v>
      </c>
      <c r="B55" s="317" t="s">
        <v>471</v>
      </c>
      <c r="C55" s="317" t="s">
        <v>924</v>
      </c>
      <c r="D55" s="374"/>
      <c r="E55" s="374">
        <f>+MapaIII!E55</f>
        <v>14500000</v>
      </c>
      <c r="F55" s="374">
        <f t="shared" si="2"/>
        <v>14500000</v>
      </c>
      <c r="G55" s="375">
        <f t="shared" si="0"/>
        <v>4.3888026485511111E-3</v>
      </c>
    </row>
    <row r="56" spans="1:7" x14ac:dyDescent="0.25">
      <c r="A56" s="317" t="s">
        <v>749</v>
      </c>
      <c r="B56" s="317" t="s">
        <v>471</v>
      </c>
      <c r="C56" s="317" t="s">
        <v>925</v>
      </c>
      <c r="D56" s="374"/>
      <c r="E56" s="374">
        <f>+MapaIII!E56</f>
        <v>2000000</v>
      </c>
      <c r="F56" s="374">
        <f t="shared" si="2"/>
        <v>2000000</v>
      </c>
      <c r="G56" s="375">
        <f t="shared" si="0"/>
        <v>5.4860033106888893E-3</v>
      </c>
    </row>
    <row r="57" spans="1:7" x14ac:dyDescent="0.25">
      <c r="A57" s="317" t="s">
        <v>749</v>
      </c>
      <c r="B57" s="317" t="s">
        <v>471</v>
      </c>
      <c r="C57" s="317" t="s">
        <v>1030</v>
      </c>
      <c r="D57" s="374"/>
      <c r="E57" s="374">
        <f>+MapaIII!E57</f>
        <v>2500000</v>
      </c>
      <c r="F57" s="374">
        <f t="shared" si="2"/>
        <v>2500000</v>
      </c>
      <c r="G57" s="375">
        <f t="shared" si="0"/>
        <v>2.4138414567031114E-3</v>
      </c>
    </row>
    <row r="58" spans="1:7" x14ac:dyDescent="0.25">
      <c r="A58" s="317" t="s">
        <v>749</v>
      </c>
      <c r="B58" s="317" t="s">
        <v>471</v>
      </c>
      <c r="C58" s="317" t="s">
        <v>752</v>
      </c>
      <c r="D58" s="374"/>
      <c r="E58" s="374">
        <f>+MapaIII!E58</f>
        <v>1100000</v>
      </c>
      <c r="F58" s="374">
        <f t="shared" si="2"/>
        <v>1100000</v>
      </c>
      <c r="G58" s="375">
        <f t="shared" si="0"/>
        <v>8.7776052971022221E-3</v>
      </c>
    </row>
    <row r="59" spans="1:7" x14ac:dyDescent="0.25">
      <c r="A59" s="317" t="s">
        <v>749</v>
      </c>
      <c r="B59" s="317" t="s">
        <v>471</v>
      </c>
      <c r="C59" s="317" t="s">
        <v>753</v>
      </c>
      <c r="D59" s="374"/>
      <c r="E59" s="374">
        <f>+MapaIII!E59</f>
        <v>4000000</v>
      </c>
      <c r="F59" s="374">
        <f t="shared" si="2"/>
        <v>4000000</v>
      </c>
      <c r="G59" s="375">
        <f t="shared" si="0"/>
        <v>4.3888026485511111E-3</v>
      </c>
    </row>
    <row r="60" spans="1:7" x14ac:dyDescent="0.25">
      <c r="A60" s="317" t="s">
        <v>749</v>
      </c>
      <c r="B60" s="317" t="s">
        <v>439</v>
      </c>
      <c r="C60" s="317" t="s">
        <v>754</v>
      </c>
      <c r="D60" s="374"/>
      <c r="E60" s="374">
        <f>+MapaIII!E60</f>
        <v>2000000</v>
      </c>
      <c r="F60" s="374">
        <f t="shared" si="2"/>
        <v>2000000</v>
      </c>
      <c r="G60" s="375">
        <f t="shared" si="0"/>
        <v>5.4860033106888893E-3</v>
      </c>
    </row>
    <row r="61" spans="1:7" x14ac:dyDescent="0.25">
      <c r="A61" s="317" t="s">
        <v>749</v>
      </c>
      <c r="B61" s="317" t="s">
        <v>471</v>
      </c>
      <c r="C61" s="317" t="s">
        <v>755</v>
      </c>
      <c r="D61" s="374"/>
      <c r="E61" s="374">
        <f>+MapaIII!E61</f>
        <v>2500000</v>
      </c>
      <c r="F61" s="374">
        <f t="shared" si="2"/>
        <v>2500000</v>
      </c>
      <c r="G61" s="375">
        <f t="shared" si="0"/>
        <v>1.3166407945653333E-2</v>
      </c>
    </row>
    <row r="62" spans="1:7" x14ac:dyDescent="0.25">
      <c r="A62" s="317" t="s">
        <v>756</v>
      </c>
      <c r="B62" s="317" t="s">
        <v>471</v>
      </c>
      <c r="C62" s="317" t="s">
        <v>757</v>
      </c>
      <c r="D62" s="374"/>
      <c r="E62" s="374">
        <f>+MapaIII!E62</f>
        <v>6000000</v>
      </c>
      <c r="F62" s="374">
        <f t="shared" si="2"/>
        <v>6000000</v>
      </c>
      <c r="G62" s="375">
        <f t="shared" si="0"/>
        <v>4.3888026485511111E-3</v>
      </c>
    </row>
    <row r="63" spans="1:7" x14ac:dyDescent="0.25">
      <c r="A63" s="317" t="s">
        <v>756</v>
      </c>
      <c r="B63" s="317" t="s">
        <v>471</v>
      </c>
      <c r="C63" s="317" t="s">
        <v>758</v>
      </c>
      <c r="D63" s="374"/>
      <c r="E63" s="374">
        <f>+MapaIII!E63</f>
        <v>2000000</v>
      </c>
      <c r="F63" s="374">
        <f t="shared" si="2"/>
        <v>2000000</v>
      </c>
      <c r="G63" s="375">
        <f t="shared" si="0"/>
        <v>1.5360809269928889E-3</v>
      </c>
    </row>
    <row r="64" spans="1:7" x14ac:dyDescent="0.25">
      <c r="A64" s="317" t="s">
        <v>756</v>
      </c>
      <c r="B64" s="317" t="s">
        <v>451</v>
      </c>
      <c r="C64" s="317" t="s">
        <v>759</v>
      </c>
      <c r="D64" s="374"/>
      <c r="E64" s="374">
        <f>+MapaIII!E64</f>
        <v>700000</v>
      </c>
      <c r="F64" s="374">
        <f t="shared" si="2"/>
        <v>700000</v>
      </c>
      <c r="G64" s="375">
        <f t="shared" si="0"/>
        <v>2.1944013242755555E-3</v>
      </c>
    </row>
    <row r="65" spans="1:7" x14ac:dyDescent="0.25">
      <c r="A65" s="317" t="s">
        <v>760</v>
      </c>
      <c r="B65" s="317" t="s">
        <v>487</v>
      </c>
      <c r="C65" s="278" t="s">
        <v>761</v>
      </c>
      <c r="D65" s="374"/>
      <c r="E65" s="374">
        <f>+MapaIII!E65</f>
        <v>1000000</v>
      </c>
      <c r="F65" s="374">
        <f t="shared" si="2"/>
        <v>1000000</v>
      </c>
      <c r="G65" s="375">
        <f t="shared" si="0"/>
        <v>3.2916019864133332E-2</v>
      </c>
    </row>
    <row r="66" spans="1:7" x14ac:dyDescent="0.25">
      <c r="A66" s="317" t="s">
        <v>762</v>
      </c>
      <c r="B66" s="317" t="s">
        <v>471</v>
      </c>
      <c r="C66" s="317" t="s">
        <v>763</v>
      </c>
      <c r="D66" s="374"/>
      <c r="E66" s="374">
        <f>+MapaIII!E66</f>
        <v>15000000</v>
      </c>
      <c r="F66" s="374">
        <f t="shared" si="2"/>
        <v>15000000</v>
      </c>
      <c r="G66" s="375">
        <f t="shared" si="0"/>
        <v>2.1944013242755555E-3</v>
      </c>
    </row>
    <row r="67" spans="1:7" x14ac:dyDescent="0.25">
      <c r="A67" s="317" t="s">
        <v>762</v>
      </c>
      <c r="B67" s="317" t="s">
        <v>439</v>
      </c>
      <c r="C67" s="317" t="s">
        <v>764</v>
      </c>
      <c r="D67" s="374"/>
      <c r="E67" s="374">
        <f>+MapaIII!E67</f>
        <v>1000000</v>
      </c>
      <c r="F67" s="374">
        <f t="shared" si="2"/>
        <v>1000000</v>
      </c>
      <c r="G67" s="375">
        <f t="shared" si="0"/>
        <v>2.5235615229168892E-3</v>
      </c>
    </row>
    <row r="68" spans="1:7" x14ac:dyDescent="0.25">
      <c r="A68" s="317" t="s">
        <v>762</v>
      </c>
      <c r="B68" s="317" t="s">
        <v>439</v>
      </c>
      <c r="C68" s="317" t="s">
        <v>1033</v>
      </c>
      <c r="D68" s="374"/>
      <c r="E68" s="374">
        <f>+MapaIII!E68</f>
        <v>1150000</v>
      </c>
      <c r="F68" s="374">
        <f t="shared" si="2"/>
        <v>1150000</v>
      </c>
      <c r="G68" s="375">
        <f t="shared" si="0"/>
        <v>5.5518353504171558E-2</v>
      </c>
    </row>
    <row r="69" spans="1:7" x14ac:dyDescent="0.25">
      <c r="A69" s="317" t="s">
        <v>765</v>
      </c>
      <c r="B69" s="317" t="s">
        <v>487</v>
      </c>
      <c r="C69" s="317" t="s">
        <v>766</v>
      </c>
      <c r="D69" s="374"/>
      <c r="E69" s="374">
        <f>+MapaIII!E69</f>
        <v>25300000</v>
      </c>
      <c r="F69" s="374">
        <f t="shared" si="2"/>
        <v>25300000</v>
      </c>
      <c r="G69" s="375">
        <f t="shared" si="0"/>
        <v>0</v>
      </c>
    </row>
    <row r="70" spans="1:7" x14ac:dyDescent="0.25">
      <c r="A70" s="317" t="s">
        <v>767</v>
      </c>
      <c r="B70" s="317"/>
      <c r="C70" s="317" t="s">
        <v>768</v>
      </c>
      <c r="D70" s="374"/>
      <c r="E70" s="374"/>
      <c r="F70" s="374">
        <f t="shared" si="2"/>
        <v>0</v>
      </c>
      <c r="G70" s="375">
        <f t="shared" si="0"/>
        <v>6.5832039728266672E-4</v>
      </c>
    </row>
    <row r="71" spans="1:7" x14ac:dyDescent="0.25">
      <c r="A71" s="317" t="s">
        <v>769</v>
      </c>
      <c r="B71" s="317" t="s">
        <v>451</v>
      </c>
      <c r="C71" s="317" t="s">
        <v>770</v>
      </c>
      <c r="D71" s="374"/>
      <c r="E71" s="374">
        <f>+MapaIII!E71</f>
        <v>300000</v>
      </c>
      <c r="F71" s="374">
        <f t="shared" si="2"/>
        <v>300000</v>
      </c>
      <c r="G71" s="375">
        <f t="shared" si="0"/>
        <v>0</v>
      </c>
    </row>
    <row r="72" spans="1:7" x14ac:dyDescent="0.25">
      <c r="A72" s="317" t="s">
        <v>715</v>
      </c>
      <c r="B72" s="317"/>
      <c r="C72" s="317" t="s">
        <v>771</v>
      </c>
      <c r="D72" s="374"/>
      <c r="E72" s="374"/>
      <c r="F72" s="374">
        <f t="shared" si="2"/>
        <v>0</v>
      </c>
      <c r="G72" s="375">
        <f t="shared" si="0"/>
        <v>8.7776052971022221E-3</v>
      </c>
    </row>
    <row r="73" spans="1:7" x14ac:dyDescent="0.25">
      <c r="A73" s="317" t="s">
        <v>772</v>
      </c>
      <c r="B73" s="317" t="s">
        <v>451</v>
      </c>
      <c r="C73" s="317" t="s">
        <v>773</v>
      </c>
      <c r="D73" s="374"/>
      <c r="E73" s="374">
        <f>+MapaIII!E73</f>
        <v>4000000</v>
      </c>
      <c r="F73" s="374">
        <f t="shared" si="2"/>
        <v>4000000</v>
      </c>
      <c r="G73" s="375">
        <f t="shared" si="0"/>
        <v>0</v>
      </c>
    </row>
    <row r="74" spans="1:7" x14ac:dyDescent="0.25">
      <c r="A74" s="317" t="s">
        <v>774</v>
      </c>
      <c r="B74" s="317"/>
      <c r="C74" s="317" t="s">
        <v>775</v>
      </c>
      <c r="D74" s="374"/>
      <c r="E74" s="374"/>
      <c r="F74" s="374">
        <f t="shared" si="2"/>
        <v>0</v>
      </c>
      <c r="G74" s="375">
        <f t="shared" ref="G74:G82" si="3">+F75/$F$9</f>
        <v>6.5832039728266672E-4</v>
      </c>
    </row>
    <row r="75" spans="1:7" x14ac:dyDescent="0.25">
      <c r="A75" s="317" t="s">
        <v>778</v>
      </c>
      <c r="B75" s="317" t="s">
        <v>451</v>
      </c>
      <c r="C75" s="317" t="s">
        <v>779</v>
      </c>
      <c r="D75" s="374"/>
      <c r="E75" s="374">
        <f>+MapaIII!E75</f>
        <v>300000</v>
      </c>
      <c r="F75" s="374">
        <f t="shared" si="2"/>
        <v>300000</v>
      </c>
      <c r="G75" s="375">
        <f t="shared" si="3"/>
        <v>2.1944013242755557E-4</v>
      </c>
    </row>
    <row r="76" spans="1:7" x14ac:dyDescent="0.25">
      <c r="A76" s="317" t="s">
        <v>778</v>
      </c>
      <c r="B76" s="317" t="s">
        <v>451</v>
      </c>
      <c r="C76" s="317" t="s">
        <v>1048</v>
      </c>
      <c r="D76" s="374"/>
      <c r="E76" s="374">
        <f>+MapaIII!E76</f>
        <v>100000</v>
      </c>
      <c r="F76" s="374">
        <f t="shared" si="2"/>
        <v>100000</v>
      </c>
      <c r="G76" s="375">
        <f t="shared" si="3"/>
        <v>2.1944013242755555E-3</v>
      </c>
    </row>
    <row r="77" spans="1:7" x14ac:dyDescent="0.25">
      <c r="A77" s="317" t="s">
        <v>778</v>
      </c>
      <c r="B77" s="317" t="s">
        <v>451</v>
      </c>
      <c r="C77" s="317" t="s">
        <v>777</v>
      </c>
      <c r="D77" s="374"/>
      <c r="E77" s="374">
        <f>+MapaIII!E77</f>
        <v>1000000</v>
      </c>
      <c r="F77" s="374">
        <f t="shared" si="2"/>
        <v>1000000</v>
      </c>
      <c r="G77" s="375">
        <f t="shared" si="3"/>
        <v>7.6804046349644448E-3</v>
      </c>
    </row>
    <row r="78" spans="1:7" x14ac:dyDescent="0.25">
      <c r="A78" s="317" t="s">
        <v>780</v>
      </c>
      <c r="B78" s="317" t="s">
        <v>451</v>
      </c>
      <c r="C78" s="317" t="s">
        <v>781</v>
      </c>
      <c r="D78" s="374"/>
      <c r="E78" s="374">
        <f>+MapaIII!E78</f>
        <v>3500000</v>
      </c>
      <c r="F78" s="374">
        <f t="shared" si="2"/>
        <v>3500000</v>
      </c>
      <c r="G78" s="375">
        <f t="shared" si="3"/>
        <v>0</v>
      </c>
    </row>
    <row r="79" spans="1:7" x14ac:dyDescent="0.25">
      <c r="A79" s="317" t="s">
        <v>782</v>
      </c>
      <c r="B79" s="317"/>
      <c r="C79" s="317" t="s">
        <v>783</v>
      </c>
      <c r="D79" s="374"/>
      <c r="E79" s="374"/>
      <c r="F79" s="374">
        <f t="shared" si="2"/>
        <v>0</v>
      </c>
      <c r="G79" s="375">
        <f t="shared" si="3"/>
        <v>2.6332815891306669E-3</v>
      </c>
    </row>
    <row r="80" spans="1:7" x14ac:dyDescent="0.25">
      <c r="A80" s="317" t="s">
        <v>785</v>
      </c>
      <c r="B80" s="317" t="s">
        <v>451</v>
      </c>
      <c r="C80" s="317" t="s">
        <v>786</v>
      </c>
      <c r="D80" s="374"/>
      <c r="E80" s="374">
        <f>+MapaIII!E80</f>
        <v>1200000</v>
      </c>
      <c r="F80" s="374">
        <f t="shared" si="2"/>
        <v>1200000</v>
      </c>
      <c r="G80" s="375">
        <f t="shared" si="3"/>
        <v>5.4860033106888893E-3</v>
      </c>
    </row>
    <row r="81" spans="1:7" x14ac:dyDescent="0.25">
      <c r="A81" s="317" t="s">
        <v>785</v>
      </c>
      <c r="B81" s="317" t="s">
        <v>451</v>
      </c>
      <c r="C81" s="317" t="s">
        <v>878</v>
      </c>
      <c r="D81" s="374"/>
      <c r="E81" s="374">
        <f>+MapaIII!E81</f>
        <v>2500000</v>
      </c>
      <c r="F81" s="374">
        <f t="shared" si="2"/>
        <v>2500000</v>
      </c>
      <c r="G81" s="375">
        <f t="shared" si="3"/>
        <v>2.8527217215582223E-2</v>
      </c>
    </row>
    <row r="82" spans="1:7" x14ac:dyDescent="0.25">
      <c r="A82" s="317" t="s">
        <v>784</v>
      </c>
      <c r="B82" s="317" t="s">
        <v>471</v>
      </c>
      <c r="C82" s="317" t="s">
        <v>787</v>
      </c>
      <c r="D82" s="374"/>
      <c r="E82" s="374">
        <f>+MapaIII!E82</f>
        <v>13000000</v>
      </c>
      <c r="F82" s="374">
        <f t="shared" si="2"/>
        <v>13000000</v>
      </c>
      <c r="G82" s="375">
        <f t="shared" si="3"/>
        <v>0.71541245472453585</v>
      </c>
    </row>
    <row r="83" spans="1:7" x14ac:dyDescent="0.25">
      <c r="A83" s="377" t="s">
        <v>703</v>
      </c>
      <c r="B83" s="377"/>
      <c r="C83" s="377"/>
      <c r="D83" s="378">
        <f>+SUM(D11:D82)</f>
        <v>184050157</v>
      </c>
      <c r="E83" s="378">
        <f>+SUM(E11:E82)</f>
        <v>271655000</v>
      </c>
      <c r="F83" s="378">
        <f>+SUM(F12:F82)</f>
        <v>326017145</v>
      </c>
      <c r="G83" s="379">
        <v>1</v>
      </c>
    </row>
    <row r="85" spans="1:7" x14ac:dyDescent="0.25">
      <c r="A85" s="132" t="s">
        <v>828</v>
      </c>
    </row>
    <row r="87" spans="1:7" x14ac:dyDescent="0.25">
      <c r="A87" s="132" t="s">
        <v>377</v>
      </c>
    </row>
    <row r="89" spans="1:7" x14ac:dyDescent="0.25">
      <c r="A89" s="132" t="s">
        <v>378</v>
      </c>
    </row>
    <row r="90" spans="1:7" x14ac:dyDescent="0.25">
      <c r="A90" s="132" t="s">
        <v>379</v>
      </c>
    </row>
  </sheetData>
  <pageMargins left="0.7" right="0.7" top="0.75" bottom="0.75" header="0.3" footer="0.3"/>
  <pageSetup paperSize="9" scale="49" orientation="portrait" r:id="rId1"/>
  <colBreaks count="1" manualBreakCount="1">
    <brk id="7" max="10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62"/>
  <sheetViews>
    <sheetView topLeftCell="D13" zoomScale="140" zoomScaleNormal="140" workbookViewId="0">
      <selection activeCell="J27" sqref="J27"/>
    </sheetView>
  </sheetViews>
  <sheetFormatPr defaultColWidth="15.28515625" defaultRowHeight="15" x14ac:dyDescent="0.25"/>
  <cols>
    <col min="1" max="1" width="98.28515625" style="380" hidden="1" customWidth="1"/>
    <col min="2" max="2" width="5.28515625" style="380" hidden="1" customWidth="1"/>
    <col min="3" max="3" width="20.42578125" style="476" hidden="1" customWidth="1"/>
    <col min="4" max="4" width="46" style="380" customWidth="1"/>
    <col min="5" max="5" width="17" style="380" customWidth="1"/>
    <col min="6" max="6" width="18.42578125" style="380" customWidth="1"/>
    <col min="7" max="7" width="15.85546875" style="380" customWidth="1"/>
    <col min="8" max="8" width="12.5703125" style="380" customWidth="1"/>
    <col min="9" max="9" width="17" style="380" customWidth="1"/>
    <col min="10" max="10" width="20.5703125" style="380" bestFit="1" customWidth="1"/>
    <col min="11" max="11" width="17.7109375" style="380" bestFit="1" customWidth="1"/>
    <col min="12" max="16384" width="15.28515625" style="380"/>
  </cols>
  <sheetData>
    <row r="1" spans="1:13" x14ac:dyDescent="0.25">
      <c r="C1" s="380"/>
    </row>
    <row r="2" spans="1:13" x14ac:dyDescent="0.25">
      <c r="C2" s="380"/>
    </row>
    <row r="3" spans="1:13" x14ac:dyDescent="0.25">
      <c r="C3" s="380"/>
    </row>
    <row r="4" spans="1:13" x14ac:dyDescent="0.25">
      <c r="C4" s="380"/>
    </row>
    <row r="5" spans="1:13" x14ac:dyDescent="0.25">
      <c r="C5" s="380"/>
      <c r="J5" s="125"/>
    </row>
    <row r="6" spans="1:13" ht="15" customHeight="1" x14ac:dyDescent="0.25">
      <c r="A6" s="381" t="s">
        <v>0</v>
      </c>
      <c r="B6" s="381"/>
      <c r="C6" s="381"/>
      <c r="D6" s="381"/>
      <c r="E6" s="381"/>
      <c r="F6" s="382">
        <f>+F14+G14</f>
        <v>173200000</v>
      </c>
      <c r="G6" s="381"/>
      <c r="H6" s="381"/>
      <c r="I6" s="381"/>
      <c r="J6" s="125"/>
    </row>
    <row r="7" spans="1:13" ht="15" customHeight="1" x14ac:dyDescent="0.25">
      <c r="A7" s="381" t="s">
        <v>1</v>
      </c>
      <c r="B7" s="381"/>
      <c r="C7" s="381"/>
      <c r="D7" s="381"/>
      <c r="E7" s="381"/>
      <c r="F7" s="381"/>
      <c r="G7" s="381"/>
      <c r="H7" s="381"/>
      <c r="I7" s="381"/>
      <c r="J7" s="125">
        <f>124505000-74433341</f>
        <v>50071659</v>
      </c>
    </row>
    <row r="8" spans="1:13" ht="20.25" customHeight="1" x14ac:dyDescent="0.25">
      <c r="A8" s="383" t="s">
        <v>829</v>
      </c>
      <c r="B8" s="383"/>
      <c r="C8" s="383"/>
      <c r="D8" s="383"/>
      <c r="E8" s="383"/>
      <c r="F8" s="383"/>
      <c r="G8" s="383"/>
      <c r="H8" s="383"/>
      <c r="I8" s="383"/>
      <c r="J8" s="384"/>
    </row>
    <row r="9" spans="1:13" ht="18" customHeight="1" x14ac:dyDescent="0.25">
      <c r="A9" s="385" t="s">
        <v>830</v>
      </c>
      <c r="B9" s="385"/>
      <c r="C9" s="385"/>
      <c r="D9" s="385"/>
      <c r="E9" s="385"/>
      <c r="F9" s="385"/>
      <c r="G9" s="385"/>
      <c r="H9" s="385"/>
      <c r="I9" s="385"/>
      <c r="J9" s="384">
        <f>+F14+G14</f>
        <v>173200000</v>
      </c>
    </row>
    <row r="10" spans="1:13" ht="14.1" customHeight="1" x14ac:dyDescent="0.25">
      <c r="C10" s="386"/>
      <c r="D10" s="387"/>
      <c r="E10" s="388"/>
      <c r="F10" s="388"/>
      <c r="G10" s="388"/>
      <c r="H10" s="388"/>
      <c r="I10" s="388"/>
      <c r="J10" s="384"/>
    </row>
    <row r="11" spans="1:13" ht="24" customHeight="1" x14ac:dyDescent="0.25">
      <c r="A11" s="389" t="s">
        <v>831</v>
      </c>
      <c r="B11" s="389" t="s">
        <v>832</v>
      </c>
      <c r="C11" s="389" t="s">
        <v>833</v>
      </c>
      <c r="D11" s="390" t="s">
        <v>5</v>
      </c>
      <c r="E11" s="391" t="s">
        <v>834</v>
      </c>
      <c r="F11" s="391"/>
      <c r="G11" s="391"/>
      <c r="H11" s="391"/>
      <c r="I11" s="391"/>
      <c r="J11" s="392"/>
      <c r="K11" s="393"/>
    </row>
    <row r="12" spans="1:13" ht="14.25" customHeight="1" x14ac:dyDescent="0.25">
      <c r="A12" s="389"/>
      <c r="B12" s="389"/>
      <c r="C12" s="389"/>
      <c r="D12" s="390"/>
      <c r="E12" s="394" t="s">
        <v>835</v>
      </c>
      <c r="F12" s="395" t="s">
        <v>836</v>
      </c>
      <c r="G12" s="395" t="s">
        <v>837</v>
      </c>
      <c r="H12" s="395" t="s">
        <v>838</v>
      </c>
      <c r="I12" s="395" t="s">
        <v>8</v>
      </c>
      <c r="J12" s="125"/>
    </row>
    <row r="13" spans="1:13" ht="22.5" customHeight="1" x14ac:dyDescent="0.25">
      <c r="A13" s="389"/>
      <c r="B13" s="389"/>
      <c r="C13" s="389"/>
      <c r="D13" s="390"/>
      <c r="E13" s="394"/>
      <c r="F13" s="395"/>
      <c r="G13" s="395"/>
      <c r="H13" s="395"/>
      <c r="I13" s="395"/>
      <c r="J13" s="396"/>
      <c r="K13" s="397"/>
      <c r="L13" s="398"/>
      <c r="M13" s="399"/>
    </row>
    <row r="14" spans="1:13" ht="22.5" customHeight="1" x14ac:dyDescent="0.25">
      <c r="A14" s="400"/>
      <c r="B14" s="400"/>
      <c r="C14" s="401"/>
      <c r="D14" s="402" t="s">
        <v>815</v>
      </c>
      <c r="E14" s="403">
        <f>+E15+E22+E32+E58+E71+E116</f>
        <v>98455000</v>
      </c>
      <c r="F14" s="403">
        <f>+F15+F22+F32+F58+F71+F116</f>
        <v>156200000</v>
      </c>
      <c r="G14" s="403">
        <f>+G15+G22+G32+G58+G71+G116</f>
        <v>17000000</v>
      </c>
      <c r="H14" s="403">
        <f>H15+H22+H32+H58+H71+H116</f>
        <v>0</v>
      </c>
      <c r="I14" s="403">
        <f>+SUM(E14:H14)</f>
        <v>271655000</v>
      </c>
      <c r="J14" s="404"/>
      <c r="K14" s="399"/>
      <c r="L14" s="399"/>
      <c r="M14" s="399"/>
    </row>
    <row r="15" spans="1:13" ht="15.95" customHeight="1" x14ac:dyDescent="0.25">
      <c r="A15" s="400">
        <v>1</v>
      </c>
      <c r="B15" s="400"/>
      <c r="C15" s="401"/>
      <c r="D15" s="405" t="s">
        <v>839</v>
      </c>
      <c r="E15" s="406">
        <f>E19+E16</f>
        <v>1600000</v>
      </c>
      <c r="F15" s="406">
        <f>F19+F16</f>
        <v>0</v>
      </c>
      <c r="G15" s="406">
        <f>G19+G16</f>
        <v>0</v>
      </c>
      <c r="H15" s="406">
        <f>H19+H16</f>
        <v>0</v>
      </c>
      <c r="I15" s="406">
        <f t="shared" ref="I15" si="0">+SUM(E15:H15)</f>
        <v>1600000</v>
      </c>
      <c r="J15" s="404">
        <f>+MATCH(D18,'inv rubricas'!D:D,0)</f>
        <v>2</v>
      </c>
      <c r="K15" s="399"/>
      <c r="L15" s="399"/>
      <c r="M15" s="399"/>
    </row>
    <row r="16" spans="1:13" ht="15.95" customHeight="1" x14ac:dyDescent="0.25">
      <c r="A16" s="400"/>
      <c r="B16" s="400">
        <v>1</v>
      </c>
      <c r="C16" s="401"/>
      <c r="D16" s="405" t="s">
        <v>840</v>
      </c>
      <c r="E16" s="406">
        <f t="shared" ref="E16:H17" si="1">E17</f>
        <v>500000</v>
      </c>
      <c r="F16" s="406">
        <f t="shared" si="1"/>
        <v>0</v>
      </c>
      <c r="G16" s="406">
        <f t="shared" si="1"/>
        <v>0</v>
      </c>
      <c r="H16" s="406">
        <f t="shared" si="1"/>
        <v>0</v>
      </c>
      <c r="I16" s="406">
        <f t="shared" ref="I16:I31" si="2">+SUM(E16:H16)</f>
        <v>500000</v>
      </c>
      <c r="J16" s="407"/>
      <c r="K16" s="399"/>
      <c r="L16" s="399"/>
      <c r="M16" s="399"/>
    </row>
    <row r="17" spans="1:13" ht="15.95" customHeight="1" x14ac:dyDescent="0.25">
      <c r="A17" s="400"/>
      <c r="B17" s="400"/>
      <c r="C17" s="401">
        <v>1</v>
      </c>
      <c r="D17" s="405" t="s">
        <v>841</v>
      </c>
      <c r="E17" s="406">
        <f t="shared" si="1"/>
        <v>500000</v>
      </c>
      <c r="F17" s="406">
        <f t="shared" si="1"/>
        <v>0</v>
      </c>
      <c r="G17" s="406">
        <f t="shared" si="1"/>
        <v>0</v>
      </c>
      <c r="H17" s="406">
        <f t="shared" si="1"/>
        <v>0</v>
      </c>
      <c r="I17" s="406">
        <f t="shared" si="2"/>
        <v>500000</v>
      </c>
      <c r="J17" s="407"/>
      <c r="K17" s="399"/>
      <c r="L17" s="399"/>
      <c r="M17" s="399"/>
    </row>
    <row r="18" spans="1:13" s="125" customFormat="1" ht="15.95" customHeight="1" x14ac:dyDescent="0.25">
      <c r="A18" s="408"/>
      <c r="B18" s="408"/>
      <c r="C18" s="409" t="s">
        <v>451</v>
      </c>
      <c r="D18" s="410" t="s">
        <v>842</v>
      </c>
      <c r="E18" s="607">
        <v>500000</v>
      </c>
      <c r="F18" s="411">
        <v>0</v>
      </c>
      <c r="G18" s="411">
        <v>0</v>
      </c>
      <c r="H18" s="411">
        <v>0</v>
      </c>
      <c r="I18" s="411">
        <f t="shared" si="2"/>
        <v>500000</v>
      </c>
      <c r="J18" s="404">
        <f>+MATCH(D21,'inv rubricas'!D:D,0)</f>
        <v>3</v>
      </c>
      <c r="K18" s="384"/>
      <c r="L18" s="384"/>
      <c r="M18" s="384"/>
    </row>
    <row r="19" spans="1:13" ht="15.95" customHeight="1" x14ac:dyDescent="0.25">
      <c r="A19" s="400">
        <v>1</v>
      </c>
      <c r="B19" s="412" t="s">
        <v>843</v>
      </c>
      <c r="C19" s="401"/>
      <c r="D19" s="405" t="s">
        <v>844</v>
      </c>
      <c r="E19" s="406">
        <f>E20</f>
        <v>1100000</v>
      </c>
      <c r="F19" s="406">
        <f>F20</f>
        <v>0</v>
      </c>
      <c r="G19" s="406">
        <f>G20</f>
        <v>0</v>
      </c>
      <c r="H19" s="406">
        <f>H20</f>
        <v>0</v>
      </c>
      <c r="I19" s="406">
        <f t="shared" si="2"/>
        <v>1100000</v>
      </c>
      <c r="K19" s="399"/>
      <c r="L19" s="399"/>
      <c r="M19" s="399"/>
    </row>
    <row r="20" spans="1:13" ht="15.95" customHeight="1" x14ac:dyDescent="0.25">
      <c r="A20" s="400"/>
      <c r="B20" s="412"/>
      <c r="C20" s="401"/>
      <c r="D20" s="405" t="s">
        <v>845</v>
      </c>
      <c r="E20" s="406">
        <f>+E21</f>
        <v>1100000</v>
      </c>
      <c r="F20" s="406">
        <f>+F21</f>
        <v>0</v>
      </c>
      <c r="G20" s="406">
        <f>+G21</f>
        <v>0</v>
      </c>
      <c r="H20" s="406">
        <f>+H21</f>
        <v>0</v>
      </c>
      <c r="I20" s="406">
        <f t="shared" si="2"/>
        <v>1100000</v>
      </c>
      <c r="K20" s="399"/>
      <c r="L20" s="399"/>
      <c r="M20" s="399"/>
    </row>
    <row r="21" spans="1:13" s="125" customFormat="1" ht="15.95" customHeight="1" x14ac:dyDescent="0.25">
      <c r="A21" s="408"/>
      <c r="B21" s="408"/>
      <c r="C21" s="409" t="s">
        <v>471</v>
      </c>
      <c r="D21" s="413" t="s">
        <v>752</v>
      </c>
      <c r="E21" s="608">
        <v>1100000</v>
      </c>
      <c r="F21" s="411">
        <v>0</v>
      </c>
      <c r="G21" s="411">
        <v>0</v>
      </c>
      <c r="H21" s="411">
        <v>0</v>
      </c>
      <c r="I21" s="411">
        <f t="shared" si="2"/>
        <v>1100000</v>
      </c>
      <c r="J21" s="404" t="e">
        <f>+MATCH(D24,'inv rubricas'!D:D,0)</f>
        <v>#N/A</v>
      </c>
      <c r="K21" s="384"/>
      <c r="L21" s="384"/>
      <c r="M21" s="384"/>
    </row>
    <row r="22" spans="1:13" ht="15.95" customHeight="1" x14ac:dyDescent="0.25">
      <c r="A22" s="400">
        <v>2</v>
      </c>
      <c r="B22" s="412"/>
      <c r="C22" s="400"/>
      <c r="D22" s="415" t="s">
        <v>846</v>
      </c>
      <c r="E22" s="416">
        <f>+E23+E29</f>
        <v>3300000</v>
      </c>
      <c r="F22" s="416">
        <f>+F23+F29</f>
        <v>0</v>
      </c>
      <c r="G22" s="416">
        <f>+G23+G29</f>
        <v>0</v>
      </c>
      <c r="H22" s="416">
        <f>SUM(H23)</f>
        <v>0</v>
      </c>
      <c r="I22" s="416">
        <f t="shared" si="2"/>
        <v>3300000</v>
      </c>
      <c r="K22" s="399"/>
      <c r="L22" s="399"/>
      <c r="M22" s="399"/>
    </row>
    <row r="23" spans="1:13" ht="15.95" customHeight="1" x14ac:dyDescent="0.25">
      <c r="A23" s="400">
        <v>2</v>
      </c>
      <c r="B23" s="412" t="s">
        <v>847</v>
      </c>
      <c r="C23" s="401"/>
      <c r="D23" s="405" t="s">
        <v>848</v>
      </c>
      <c r="E23" s="406">
        <f>+E24+E26+E28</f>
        <v>3200000</v>
      </c>
      <c r="F23" s="406">
        <f>F24+F28+F26</f>
        <v>0</v>
      </c>
      <c r="G23" s="406">
        <f>+G24+G26+G28</f>
        <v>0</v>
      </c>
      <c r="H23" s="406">
        <f>H24+H28+H26</f>
        <v>0</v>
      </c>
      <c r="I23" s="406">
        <f t="shared" si="2"/>
        <v>3200000</v>
      </c>
      <c r="K23" s="399"/>
      <c r="L23" s="399"/>
      <c r="M23" s="399"/>
    </row>
    <row r="24" spans="1:13" ht="15.95" customHeight="1" x14ac:dyDescent="0.25">
      <c r="A24" s="400"/>
      <c r="B24" s="400">
        <v>2</v>
      </c>
      <c r="C24" s="401"/>
      <c r="D24" s="405" t="s">
        <v>849</v>
      </c>
      <c r="E24" s="406">
        <f>+SUM(E25:E25)</f>
        <v>2000000</v>
      </c>
      <c r="F24" s="406">
        <f>+SUM(F25:F25)</f>
        <v>0</v>
      </c>
      <c r="G24" s="406">
        <f>+SUM(G25:G25)</f>
        <v>0</v>
      </c>
      <c r="H24" s="406">
        <f>+SUM(H25:H25)</f>
        <v>0</v>
      </c>
      <c r="I24" s="417">
        <f t="shared" si="2"/>
        <v>2000000</v>
      </c>
      <c r="K24" s="399"/>
      <c r="L24" s="399"/>
      <c r="M24" s="399"/>
    </row>
    <row r="25" spans="1:13" s="125" customFormat="1" ht="15.95" customHeight="1" x14ac:dyDescent="0.25">
      <c r="A25" s="418"/>
      <c r="B25" s="418"/>
      <c r="C25" s="419" t="s">
        <v>502</v>
      </c>
      <c r="D25" s="419" t="s">
        <v>850</v>
      </c>
      <c r="E25" s="609">
        <v>2000000</v>
      </c>
      <c r="F25" s="411">
        <v>0</v>
      </c>
      <c r="G25" s="411">
        <v>0</v>
      </c>
      <c r="H25" s="411">
        <v>0</v>
      </c>
      <c r="I25" s="411">
        <f t="shared" si="2"/>
        <v>2000000</v>
      </c>
      <c r="J25" s="404" t="e">
        <f>+MATCH(D26,'inv rubricas'!D:D,0)</f>
        <v>#N/A</v>
      </c>
    </row>
    <row r="26" spans="1:13" ht="15.95" customHeight="1" x14ac:dyDescent="0.25">
      <c r="A26" s="400"/>
      <c r="B26" s="400">
        <v>3</v>
      </c>
      <c r="C26" s="401"/>
      <c r="D26" s="405" t="s">
        <v>851</v>
      </c>
      <c r="E26" s="420">
        <f>+SUM(E27:E27)</f>
        <v>1200000</v>
      </c>
      <c r="F26" s="420">
        <f>+SUM(F27:F27)</f>
        <v>0</v>
      </c>
      <c r="G26" s="420">
        <f>+SUM(G27:G27)</f>
        <v>0</v>
      </c>
      <c r="H26" s="420">
        <f>+SUM(H27:H27)</f>
        <v>0</v>
      </c>
      <c r="I26" s="420">
        <f t="shared" si="2"/>
        <v>1200000</v>
      </c>
    </row>
    <row r="27" spans="1:13" s="125" customFormat="1" ht="15.95" customHeight="1" x14ac:dyDescent="0.25">
      <c r="A27" s="400"/>
      <c r="B27" s="400"/>
      <c r="C27" s="409" t="s">
        <v>451</v>
      </c>
      <c r="D27" s="419" t="s">
        <v>1026</v>
      </c>
      <c r="E27" s="609">
        <v>1200000</v>
      </c>
      <c r="F27" s="411"/>
      <c r="G27" s="411">
        <v>0</v>
      </c>
      <c r="H27" s="411">
        <v>0</v>
      </c>
      <c r="I27" s="411">
        <f t="shared" si="2"/>
        <v>1200000</v>
      </c>
      <c r="J27" s="404" t="e">
        <f>+MATCH(#REF!,'inv rubricas'!D:D,0)</f>
        <v>#REF!</v>
      </c>
    </row>
    <row r="28" spans="1:13" ht="15.95" customHeight="1" x14ac:dyDescent="0.25">
      <c r="A28" s="400"/>
      <c r="B28" s="400">
        <v>4</v>
      </c>
      <c r="C28" s="401"/>
      <c r="D28" s="405" t="s">
        <v>853</v>
      </c>
      <c r="E28" s="421">
        <v>0</v>
      </c>
      <c r="F28" s="406">
        <v>0</v>
      </c>
      <c r="G28" s="406">
        <v>0</v>
      </c>
      <c r="H28" s="406">
        <v>0</v>
      </c>
      <c r="I28" s="417">
        <f t="shared" si="2"/>
        <v>0</v>
      </c>
    </row>
    <row r="29" spans="1:13" ht="15.95" customHeight="1" x14ac:dyDescent="0.25">
      <c r="A29" s="422">
        <v>2</v>
      </c>
      <c r="B29" s="412" t="s">
        <v>854</v>
      </c>
      <c r="C29" s="405"/>
      <c r="D29" s="405" t="s">
        <v>855</v>
      </c>
      <c r="E29" s="423">
        <f>E30</f>
        <v>100000</v>
      </c>
      <c r="F29" s="423">
        <f>F30</f>
        <v>0</v>
      </c>
      <c r="G29" s="423">
        <f>G30</f>
        <v>0</v>
      </c>
      <c r="H29" s="423">
        <f>H30</f>
        <v>0</v>
      </c>
      <c r="I29" s="423">
        <f t="shared" si="2"/>
        <v>100000</v>
      </c>
    </row>
    <row r="30" spans="1:13" ht="15.95" customHeight="1" x14ac:dyDescent="0.25">
      <c r="A30" s="405"/>
      <c r="B30" s="400">
        <v>1</v>
      </c>
      <c r="C30" s="405"/>
      <c r="D30" s="405" t="s">
        <v>856</v>
      </c>
      <c r="E30" s="423">
        <f>+SUM(E31:E31)</f>
        <v>100000</v>
      </c>
      <c r="F30" s="423">
        <f>+SUM(F31:F31)</f>
        <v>0</v>
      </c>
      <c r="G30" s="423">
        <f>+SUM(G31:G31)</f>
        <v>0</v>
      </c>
      <c r="H30" s="423">
        <f>+SUM(H31:H31)</f>
        <v>0</v>
      </c>
      <c r="I30" s="423">
        <f t="shared" si="2"/>
        <v>100000</v>
      </c>
    </row>
    <row r="31" spans="1:13" ht="15.95" customHeight="1" x14ac:dyDescent="0.25">
      <c r="A31" s="418"/>
      <c r="B31" s="418"/>
      <c r="C31" s="419" t="s">
        <v>434</v>
      </c>
      <c r="D31" s="413" t="s">
        <v>857</v>
      </c>
      <c r="E31" s="609">
        <v>100000</v>
      </c>
      <c r="F31" s="411">
        <v>0</v>
      </c>
      <c r="G31" s="411">
        <v>0</v>
      </c>
      <c r="H31" s="411">
        <v>0</v>
      </c>
      <c r="I31" s="411">
        <f t="shared" si="2"/>
        <v>100000</v>
      </c>
      <c r="J31" s="404" t="e">
        <f>+MATCH(D33,'inv rubricas'!D:D,0)</f>
        <v>#N/A</v>
      </c>
    </row>
    <row r="32" spans="1:13" ht="15.95" customHeight="1" x14ac:dyDescent="0.25">
      <c r="A32" s="400">
        <v>3</v>
      </c>
      <c r="B32" s="412"/>
      <c r="C32" s="424"/>
      <c r="D32" s="425" t="s">
        <v>810</v>
      </c>
      <c r="E32" s="426">
        <f>E33+E41+E46+E50+E54</f>
        <v>10855000</v>
      </c>
      <c r="F32" s="426">
        <f>F33+F41+F46+F50+F54</f>
        <v>7200000</v>
      </c>
      <c r="G32" s="426">
        <f>G33+G41+G46+G50+G54</f>
        <v>1500000</v>
      </c>
      <c r="H32" s="426">
        <f>H33+H41+H46+H50+H54</f>
        <v>0</v>
      </c>
      <c r="I32" s="426">
        <f>I33+I41+I46+I50+I54</f>
        <v>19555000</v>
      </c>
    </row>
    <row r="33" spans="1:10" ht="15.95" customHeight="1" x14ac:dyDescent="0.25">
      <c r="A33" s="400">
        <v>3</v>
      </c>
      <c r="B33" s="412" t="s">
        <v>847</v>
      </c>
      <c r="C33" s="424"/>
      <c r="D33" s="427" t="s">
        <v>775</v>
      </c>
      <c r="E33" s="426">
        <f>+E34+E37+E39</f>
        <v>1000000</v>
      </c>
      <c r="F33" s="426">
        <f>+F34+F37+F39</f>
        <v>3900000</v>
      </c>
      <c r="G33" s="426">
        <f>+G34+G37+G39</f>
        <v>0</v>
      </c>
      <c r="H33" s="426">
        <f>+H34+H37+H39</f>
        <v>0</v>
      </c>
      <c r="I33" s="426">
        <f>+SUM(E33:H33)</f>
        <v>4900000</v>
      </c>
    </row>
    <row r="34" spans="1:10" ht="15.95" customHeight="1" x14ac:dyDescent="0.25">
      <c r="A34" s="400"/>
      <c r="B34" s="400">
        <v>1</v>
      </c>
      <c r="C34" s="424"/>
      <c r="D34" s="427" t="s">
        <v>858</v>
      </c>
      <c r="E34" s="426">
        <f>+SUM(E35:E36)</f>
        <v>200000</v>
      </c>
      <c r="F34" s="426">
        <f>+SUM(F35:F36)</f>
        <v>900000</v>
      </c>
      <c r="G34" s="426">
        <f>+SUM(G35:G36)</f>
        <v>0</v>
      </c>
      <c r="H34" s="426">
        <f>+SUM(H35:H36)</f>
        <v>0</v>
      </c>
      <c r="I34" s="426">
        <f>+SUM(I35:I36)</f>
        <v>1100000</v>
      </c>
    </row>
    <row r="35" spans="1:10" s="125" customFormat="1" ht="15.95" customHeight="1" x14ac:dyDescent="0.25">
      <c r="A35" s="418"/>
      <c r="B35" s="418"/>
      <c r="C35" s="419" t="s">
        <v>451</v>
      </c>
      <c r="D35" s="413" t="s">
        <v>776</v>
      </c>
      <c r="E35" s="608">
        <v>100000</v>
      </c>
      <c r="F35" s="414"/>
      <c r="G35" s="411">
        <v>0</v>
      </c>
      <c r="H35" s="411">
        <v>0</v>
      </c>
      <c r="I35" s="411">
        <f t="shared" ref="I35:I60" si="3">+SUM(E35:H35)</f>
        <v>100000</v>
      </c>
      <c r="J35" s="404" t="e">
        <f>+MATCH(D37,'inv rubricas'!D:D,0)</f>
        <v>#N/A</v>
      </c>
    </row>
    <row r="36" spans="1:10" s="125" customFormat="1" ht="15.95" customHeight="1" x14ac:dyDescent="0.25">
      <c r="A36" s="418"/>
      <c r="B36" s="418"/>
      <c r="C36" s="419" t="s">
        <v>451</v>
      </c>
      <c r="D36" s="413" t="s">
        <v>1047</v>
      </c>
      <c r="E36" s="608">
        <v>100000</v>
      </c>
      <c r="F36" s="414">
        <v>900000</v>
      </c>
      <c r="G36" s="411">
        <v>0</v>
      </c>
      <c r="H36" s="411">
        <v>0</v>
      </c>
      <c r="I36" s="411">
        <f t="shared" si="3"/>
        <v>1000000</v>
      </c>
      <c r="J36" s="404">
        <f>+MATCH(D38,'inv rubricas'!D:D,0)</f>
        <v>9</v>
      </c>
    </row>
    <row r="37" spans="1:10" ht="15.95" customHeight="1" x14ac:dyDescent="0.25">
      <c r="A37" s="400"/>
      <c r="B37" s="400">
        <v>3</v>
      </c>
      <c r="C37" s="424"/>
      <c r="D37" s="427" t="s">
        <v>861</v>
      </c>
      <c r="E37" s="426">
        <f>E38</f>
        <v>500000</v>
      </c>
      <c r="F37" s="426">
        <f>F38</f>
        <v>3000000</v>
      </c>
      <c r="G37" s="406">
        <f>G38</f>
        <v>0</v>
      </c>
      <c r="H37" s="406">
        <f>H38</f>
        <v>0</v>
      </c>
      <c r="I37" s="406">
        <f t="shared" si="3"/>
        <v>3500000</v>
      </c>
    </row>
    <row r="38" spans="1:10" s="125" customFormat="1" ht="15.95" customHeight="1" x14ac:dyDescent="0.25">
      <c r="A38" s="418"/>
      <c r="B38" s="418"/>
      <c r="C38" s="419" t="s">
        <v>451</v>
      </c>
      <c r="D38" s="413" t="s">
        <v>781</v>
      </c>
      <c r="E38" s="608">
        <v>500000</v>
      </c>
      <c r="F38" s="414">
        <v>3000000</v>
      </c>
      <c r="G38" s="411"/>
      <c r="H38" s="411">
        <v>0</v>
      </c>
      <c r="I38" s="411">
        <f t="shared" si="3"/>
        <v>3500000</v>
      </c>
      <c r="J38" s="404" t="e">
        <f>+MATCH(D41,'inv rubricas'!D:D,0)</f>
        <v>#N/A</v>
      </c>
    </row>
    <row r="39" spans="1:10" s="125" customFormat="1" ht="15.95" customHeight="1" x14ac:dyDescent="0.25">
      <c r="A39" s="418"/>
      <c r="B39" s="428">
        <v>4</v>
      </c>
      <c r="C39" s="424"/>
      <c r="D39" s="427" t="s">
        <v>862</v>
      </c>
      <c r="E39" s="426">
        <f>+E40</f>
        <v>300000</v>
      </c>
      <c r="F39" s="426">
        <f>+F40</f>
        <v>0</v>
      </c>
      <c r="G39" s="406">
        <f>+G40</f>
        <v>0</v>
      </c>
      <c r="H39" s="406">
        <f>+H40</f>
        <v>0</v>
      </c>
      <c r="I39" s="406">
        <f t="shared" si="3"/>
        <v>300000</v>
      </c>
    </row>
    <row r="40" spans="1:10" s="125" customFormat="1" ht="15.95" customHeight="1" x14ac:dyDescent="0.25">
      <c r="A40" s="418"/>
      <c r="B40" s="418"/>
      <c r="C40" s="419" t="s">
        <v>451</v>
      </c>
      <c r="D40" s="413" t="s">
        <v>779</v>
      </c>
      <c r="E40" s="608">
        <v>300000</v>
      </c>
      <c r="F40" s="414">
        <v>0</v>
      </c>
      <c r="G40" s="411"/>
      <c r="H40" s="411">
        <v>0</v>
      </c>
      <c r="I40" s="411">
        <f t="shared" si="3"/>
        <v>300000</v>
      </c>
      <c r="J40" s="404">
        <f>+MATCH(D43,'inv rubricas'!D:D,0)</f>
        <v>11</v>
      </c>
    </row>
    <row r="41" spans="1:10" ht="15.95" customHeight="1" x14ac:dyDescent="0.25">
      <c r="A41" s="400">
        <v>3</v>
      </c>
      <c r="B41" s="412" t="s">
        <v>854</v>
      </c>
      <c r="C41" s="424"/>
      <c r="D41" s="427" t="s">
        <v>863</v>
      </c>
      <c r="E41" s="426">
        <f>E42</f>
        <v>5355000</v>
      </c>
      <c r="F41" s="426">
        <f>F42</f>
        <v>1000000</v>
      </c>
      <c r="G41" s="406">
        <f>G42</f>
        <v>0</v>
      </c>
      <c r="H41" s="406">
        <f>H42</f>
        <v>0</v>
      </c>
      <c r="I41" s="406">
        <f t="shared" si="3"/>
        <v>6355000</v>
      </c>
    </row>
    <row r="42" spans="1:10" ht="15.95" customHeight="1" x14ac:dyDescent="0.25">
      <c r="A42" s="400"/>
      <c r="B42" s="400">
        <v>1</v>
      </c>
      <c r="C42" s="424"/>
      <c r="D42" s="427" t="s">
        <v>864</v>
      </c>
      <c r="E42" s="426">
        <f>+SUM(E43:E45)</f>
        <v>5355000</v>
      </c>
      <c r="F42" s="426">
        <f>+SUM(F43:F45)</f>
        <v>1000000</v>
      </c>
      <c r="G42" s="426">
        <f>+SUM(G43:G45)</f>
        <v>0</v>
      </c>
      <c r="H42" s="426">
        <f>+SUM(H43:H45)</f>
        <v>0</v>
      </c>
      <c r="I42" s="426">
        <f t="shared" si="3"/>
        <v>6355000</v>
      </c>
    </row>
    <row r="43" spans="1:10" s="125" customFormat="1" ht="15.95" customHeight="1" x14ac:dyDescent="0.25">
      <c r="A43" s="418"/>
      <c r="B43" s="418"/>
      <c r="C43" s="419" t="s">
        <v>471</v>
      </c>
      <c r="D43" s="413" t="s">
        <v>865</v>
      </c>
      <c r="E43" s="608">
        <v>1150000</v>
      </c>
      <c r="F43" s="414">
        <v>0</v>
      </c>
      <c r="G43" s="411"/>
      <c r="H43" s="411">
        <v>0</v>
      </c>
      <c r="I43" s="411">
        <f t="shared" si="3"/>
        <v>1150000</v>
      </c>
      <c r="J43" s="404" t="e">
        <f>+MATCH(#REF!,'inv rubricas'!D:D,0)</f>
        <v>#REF!</v>
      </c>
    </row>
    <row r="44" spans="1:10" s="125" customFormat="1" ht="15.95" customHeight="1" x14ac:dyDescent="0.25">
      <c r="A44" s="418"/>
      <c r="B44" s="418"/>
      <c r="C44" s="429" t="s">
        <v>471</v>
      </c>
      <c r="D44" s="430" t="s">
        <v>866</v>
      </c>
      <c r="E44" s="610">
        <v>3205000</v>
      </c>
      <c r="F44" s="431"/>
      <c r="G44" s="432"/>
      <c r="H44" s="432"/>
      <c r="I44" s="432">
        <f t="shared" si="3"/>
        <v>3205000</v>
      </c>
      <c r="J44" s="404" t="e">
        <f>+MATCH(D45,'inv rubricas'!D:D,0)</f>
        <v>#N/A</v>
      </c>
    </row>
    <row r="45" spans="1:10" s="125" customFormat="1" ht="15.95" customHeight="1" x14ac:dyDescent="0.25">
      <c r="A45" s="418"/>
      <c r="B45" s="418"/>
      <c r="C45" s="419" t="s">
        <v>471</v>
      </c>
      <c r="D45" s="413" t="s">
        <v>1027</v>
      </c>
      <c r="E45" s="608">
        <v>1000000</v>
      </c>
      <c r="F45" s="414">
        <v>1000000</v>
      </c>
      <c r="G45" s="411">
        <v>0</v>
      </c>
      <c r="H45" s="411">
        <v>0</v>
      </c>
      <c r="I45" s="411">
        <f t="shared" si="3"/>
        <v>2000000</v>
      </c>
      <c r="J45" s="404" t="e">
        <f>+MATCH(D46,'inv rubricas'!D:D,0)</f>
        <v>#N/A</v>
      </c>
    </row>
    <row r="46" spans="1:10" ht="15.95" customHeight="1" x14ac:dyDescent="0.25">
      <c r="A46" s="400">
        <v>3</v>
      </c>
      <c r="B46" s="412" t="s">
        <v>868</v>
      </c>
      <c r="C46" s="433"/>
      <c r="D46" s="427" t="s">
        <v>869</v>
      </c>
      <c r="E46" s="426">
        <f>E47</f>
        <v>1200000</v>
      </c>
      <c r="F46" s="426">
        <f>F47</f>
        <v>300000</v>
      </c>
      <c r="G46" s="426">
        <f>G47</f>
        <v>0</v>
      </c>
      <c r="H46" s="426">
        <f>H47</f>
        <v>0</v>
      </c>
      <c r="I46" s="426">
        <f t="shared" si="3"/>
        <v>1500000</v>
      </c>
    </row>
    <row r="47" spans="1:10" ht="15.95" customHeight="1" x14ac:dyDescent="0.25">
      <c r="A47" s="400"/>
      <c r="B47" s="400">
        <v>3</v>
      </c>
      <c r="C47" s="424"/>
      <c r="D47" s="427" t="s">
        <v>870</v>
      </c>
      <c r="E47" s="426">
        <f>E48+E49</f>
        <v>1200000</v>
      </c>
      <c r="F47" s="426">
        <f t="shared" ref="F47:H47" si="4">F48+F49</f>
        <v>300000</v>
      </c>
      <c r="G47" s="426">
        <f t="shared" si="4"/>
        <v>0</v>
      </c>
      <c r="H47" s="426">
        <f t="shared" si="4"/>
        <v>0</v>
      </c>
      <c r="I47" s="406">
        <f t="shared" si="3"/>
        <v>1500000</v>
      </c>
    </row>
    <row r="48" spans="1:10" s="125" customFormat="1" ht="15.95" customHeight="1" x14ac:dyDescent="0.25">
      <c r="A48" s="418"/>
      <c r="B48" s="418"/>
      <c r="C48" s="419" t="s">
        <v>451</v>
      </c>
      <c r="D48" s="413" t="s">
        <v>871</v>
      </c>
      <c r="E48" s="608">
        <v>800000</v>
      </c>
      <c r="F48" s="414">
        <v>300000</v>
      </c>
      <c r="G48" s="411"/>
      <c r="H48" s="411">
        <v>0</v>
      </c>
      <c r="I48" s="411">
        <f t="shared" si="3"/>
        <v>1100000</v>
      </c>
      <c r="J48" s="404" t="e">
        <f>+MATCH(D50,'inv rubricas'!D:D,0)</f>
        <v>#N/A</v>
      </c>
    </row>
    <row r="49" spans="1:14" s="125" customFormat="1" ht="15.95" customHeight="1" x14ac:dyDescent="0.25">
      <c r="A49" s="418"/>
      <c r="B49" s="418"/>
      <c r="C49" s="419" t="s">
        <v>451</v>
      </c>
      <c r="D49" s="413" t="s">
        <v>872</v>
      </c>
      <c r="E49" s="608">
        <v>400000</v>
      </c>
      <c r="F49" s="414"/>
      <c r="G49" s="411">
        <v>0</v>
      </c>
      <c r="H49" s="411">
        <v>0</v>
      </c>
      <c r="I49" s="411">
        <f t="shared" si="3"/>
        <v>400000</v>
      </c>
      <c r="J49" s="404" t="e">
        <f>+MATCH(D51,'inv rubricas'!D:D,0)</f>
        <v>#N/A</v>
      </c>
    </row>
    <row r="50" spans="1:14" ht="15.95" customHeight="1" x14ac:dyDescent="0.25">
      <c r="A50" s="400">
        <v>3</v>
      </c>
      <c r="B50" s="412" t="s">
        <v>843</v>
      </c>
      <c r="C50" s="433"/>
      <c r="D50" s="427" t="s">
        <v>873</v>
      </c>
      <c r="E50" s="426">
        <f>E51</f>
        <v>2500000</v>
      </c>
      <c r="F50" s="426">
        <f>F51</f>
        <v>0</v>
      </c>
      <c r="G50" s="426">
        <f>G51</f>
        <v>1500000</v>
      </c>
      <c r="H50" s="426">
        <f>H51</f>
        <v>0</v>
      </c>
      <c r="I50" s="426">
        <f t="shared" si="3"/>
        <v>4000000</v>
      </c>
    </row>
    <row r="51" spans="1:14" ht="15.95" customHeight="1" x14ac:dyDescent="0.25">
      <c r="A51" s="400"/>
      <c r="B51" s="400">
        <v>1</v>
      </c>
      <c r="C51" s="424"/>
      <c r="D51" s="427" t="s">
        <v>874</v>
      </c>
      <c r="E51" s="426">
        <f>E52+E53</f>
        <v>2500000</v>
      </c>
      <c r="F51" s="426">
        <f>F52+F53</f>
        <v>0</v>
      </c>
      <c r="G51" s="426">
        <f>G52+G53</f>
        <v>1500000</v>
      </c>
      <c r="H51" s="426">
        <f>H52+H53</f>
        <v>0</v>
      </c>
      <c r="I51" s="426">
        <f t="shared" si="3"/>
        <v>4000000</v>
      </c>
      <c r="N51" s="380">
        <f>476416540-414451284</f>
        <v>61965256</v>
      </c>
    </row>
    <row r="52" spans="1:14" s="125" customFormat="1" ht="15.95" customHeight="1" x14ac:dyDescent="0.25">
      <c r="A52" s="418"/>
      <c r="B52" s="418"/>
      <c r="C52" s="419" t="s">
        <v>451</v>
      </c>
      <c r="D52" s="413" t="s">
        <v>773</v>
      </c>
      <c r="E52" s="608">
        <v>2500000</v>
      </c>
      <c r="F52" s="414">
        <v>0</v>
      </c>
      <c r="G52" s="411">
        <v>1500000</v>
      </c>
      <c r="H52" s="411">
        <v>0</v>
      </c>
      <c r="I52" s="411">
        <f t="shared" si="3"/>
        <v>4000000</v>
      </c>
      <c r="J52" s="404" t="e">
        <f>+MATCH(D55,'inv rubricas'!D:D,0)</f>
        <v>#N/A</v>
      </c>
    </row>
    <row r="53" spans="1:14" s="125" customFormat="1" ht="15.95" customHeight="1" x14ac:dyDescent="0.25">
      <c r="A53" s="418"/>
      <c r="B53" s="418"/>
      <c r="C53" s="419" t="s">
        <v>451</v>
      </c>
      <c r="D53" s="413"/>
      <c r="E53" s="414"/>
      <c r="F53" s="414"/>
      <c r="G53" s="411"/>
      <c r="H53" s="411"/>
      <c r="I53" s="411">
        <f t="shared" si="3"/>
        <v>0</v>
      </c>
    </row>
    <row r="54" spans="1:14" ht="15.95" customHeight="1" x14ac:dyDescent="0.25">
      <c r="A54" s="400">
        <v>3</v>
      </c>
      <c r="B54" s="412" t="s">
        <v>875</v>
      </c>
      <c r="C54" s="424"/>
      <c r="D54" s="427" t="s">
        <v>768</v>
      </c>
      <c r="E54" s="426">
        <f>E55</f>
        <v>800000</v>
      </c>
      <c r="F54" s="426">
        <f>F55</f>
        <v>2000000</v>
      </c>
      <c r="G54" s="426">
        <f>G55</f>
        <v>0</v>
      </c>
      <c r="H54" s="426">
        <v>0</v>
      </c>
      <c r="I54" s="426">
        <f t="shared" si="3"/>
        <v>2800000</v>
      </c>
    </row>
    <row r="55" spans="1:14" ht="15.95" customHeight="1" x14ac:dyDescent="0.25">
      <c r="A55" s="400"/>
      <c r="B55" s="400">
        <v>1</v>
      </c>
      <c r="C55" s="424"/>
      <c r="D55" s="427" t="s">
        <v>876</v>
      </c>
      <c r="E55" s="426">
        <f>E56+E57</f>
        <v>800000</v>
      </c>
      <c r="F55" s="426">
        <f>F56+F57</f>
        <v>2000000</v>
      </c>
      <c r="G55" s="426">
        <f>G56</f>
        <v>0</v>
      </c>
      <c r="H55" s="426">
        <f>H56</f>
        <v>0</v>
      </c>
      <c r="I55" s="406">
        <f t="shared" si="3"/>
        <v>2800000</v>
      </c>
    </row>
    <row r="56" spans="1:14" s="125" customFormat="1" ht="15.95" customHeight="1" x14ac:dyDescent="0.25">
      <c r="A56" s="418"/>
      <c r="B56" s="418"/>
      <c r="C56" s="419" t="s">
        <v>446</v>
      </c>
      <c r="D56" s="413" t="s">
        <v>877</v>
      </c>
      <c r="E56" s="608">
        <v>300000</v>
      </c>
      <c r="F56" s="414"/>
      <c r="G56" s="414">
        <v>0</v>
      </c>
      <c r="H56" s="414">
        <v>0</v>
      </c>
      <c r="I56" s="411">
        <f t="shared" si="3"/>
        <v>300000</v>
      </c>
      <c r="J56" s="404" t="e">
        <f>+MATCH(D59,'inv rubricas'!D:D,0)</f>
        <v>#N/A</v>
      </c>
    </row>
    <row r="57" spans="1:14" s="125" customFormat="1" ht="15.95" customHeight="1" x14ac:dyDescent="0.25">
      <c r="A57" s="418"/>
      <c r="B57" s="418"/>
      <c r="C57" s="419" t="s">
        <v>446</v>
      </c>
      <c r="D57" s="413" t="s">
        <v>878</v>
      </c>
      <c r="E57" s="608">
        <v>500000</v>
      </c>
      <c r="F57" s="414">
        <v>2000000</v>
      </c>
      <c r="G57" s="414">
        <v>0</v>
      </c>
      <c r="H57" s="414">
        <v>0</v>
      </c>
      <c r="I57" s="411">
        <f t="shared" si="3"/>
        <v>2500000</v>
      </c>
      <c r="J57" s="404">
        <f>+MATCH(D60,'inv rubricas'!D:D,0)</f>
        <v>19</v>
      </c>
    </row>
    <row r="58" spans="1:14" ht="15.95" customHeight="1" x14ac:dyDescent="0.25">
      <c r="A58" s="400">
        <v>4</v>
      </c>
      <c r="B58" s="400"/>
      <c r="C58" s="434"/>
      <c r="D58" s="435" t="s">
        <v>811</v>
      </c>
      <c r="E58" s="436">
        <f>E59+E61+E65+E68</f>
        <v>9700000</v>
      </c>
      <c r="F58" s="436">
        <f>F59+F61+F65+F68</f>
        <v>0</v>
      </c>
      <c r="G58" s="436">
        <f>G59+G61+G65+G68</f>
        <v>3000000</v>
      </c>
      <c r="H58" s="436">
        <f>H59+H61+H65+H68</f>
        <v>0</v>
      </c>
      <c r="I58" s="436">
        <f t="shared" si="3"/>
        <v>12700000</v>
      </c>
    </row>
    <row r="59" spans="1:14" ht="15.95" customHeight="1" x14ac:dyDescent="0.25">
      <c r="A59" s="400">
        <v>4</v>
      </c>
      <c r="B59" s="412" t="s">
        <v>854</v>
      </c>
      <c r="C59" s="434"/>
      <c r="D59" s="427" t="s">
        <v>879</v>
      </c>
      <c r="E59" s="426">
        <f>E60</f>
        <v>1000000</v>
      </c>
      <c r="F59" s="426">
        <f>F60</f>
        <v>0</v>
      </c>
      <c r="G59" s="426">
        <f>G60</f>
        <v>0</v>
      </c>
      <c r="H59" s="426">
        <f>H60</f>
        <v>0</v>
      </c>
      <c r="I59" s="426">
        <f t="shared" si="3"/>
        <v>1000000</v>
      </c>
    </row>
    <row r="60" spans="1:14" s="125" customFormat="1" ht="15.95" customHeight="1" x14ac:dyDescent="0.25">
      <c r="A60" s="418"/>
      <c r="B60" s="418"/>
      <c r="C60" s="409" t="s">
        <v>487</v>
      </c>
      <c r="D60" s="437" t="s">
        <v>880</v>
      </c>
      <c r="E60" s="608">
        <v>1000000</v>
      </c>
      <c r="F60" s="438"/>
      <c r="G60" s="439"/>
      <c r="H60" s="439">
        <v>0</v>
      </c>
      <c r="I60" s="439">
        <f t="shared" si="3"/>
        <v>1000000</v>
      </c>
      <c r="J60" s="404">
        <f>+MATCH(D63,'inv rubricas'!D:D,0)</f>
        <v>20</v>
      </c>
    </row>
    <row r="61" spans="1:14" ht="15.95" customHeight="1" x14ac:dyDescent="0.25">
      <c r="A61" s="400">
        <v>4</v>
      </c>
      <c r="B61" s="412" t="s">
        <v>868</v>
      </c>
      <c r="C61" s="434"/>
      <c r="D61" s="427" t="s">
        <v>881</v>
      </c>
      <c r="E61" s="426">
        <f>+E62</f>
        <v>1700000</v>
      </c>
      <c r="F61" s="426">
        <f>+F62</f>
        <v>0</v>
      </c>
      <c r="G61" s="426">
        <f>+G62</f>
        <v>2000000</v>
      </c>
      <c r="H61" s="426">
        <f>+H62</f>
        <v>0</v>
      </c>
      <c r="I61" s="426">
        <f t="shared" ref="I61:I88" si="5">+SUM(E61:H61)</f>
        <v>3700000</v>
      </c>
    </row>
    <row r="62" spans="1:14" ht="15.95" customHeight="1" x14ac:dyDescent="0.25">
      <c r="A62" s="400"/>
      <c r="B62" s="427" t="s">
        <v>847</v>
      </c>
      <c r="C62" s="427"/>
      <c r="D62" s="427" t="s">
        <v>882</v>
      </c>
      <c r="E62" s="426">
        <f>+SUM(E63:E64)</f>
        <v>1700000</v>
      </c>
      <c r="F62" s="426">
        <f>+SUM(F63:F64)</f>
        <v>0</v>
      </c>
      <c r="G62" s="426">
        <f>+SUM(G63:G64)</f>
        <v>2000000</v>
      </c>
      <c r="H62" s="426">
        <f>+SUM(H63:H64)</f>
        <v>0</v>
      </c>
      <c r="I62" s="426">
        <f t="shared" si="5"/>
        <v>3700000</v>
      </c>
    </row>
    <row r="63" spans="1:14" ht="15.95" customHeight="1" x14ac:dyDescent="0.25">
      <c r="A63" s="418"/>
      <c r="B63" s="418"/>
      <c r="C63" s="419" t="s">
        <v>471</v>
      </c>
      <c r="D63" s="413" t="s">
        <v>883</v>
      </c>
      <c r="E63" s="608">
        <v>700000</v>
      </c>
      <c r="F63" s="438"/>
      <c r="G63" s="439">
        <v>1000000</v>
      </c>
      <c r="H63" s="439">
        <v>0</v>
      </c>
      <c r="I63" s="414">
        <f t="shared" si="5"/>
        <v>1700000</v>
      </c>
      <c r="J63" s="404" t="e">
        <f>+MATCH(#REF!,'inv rubricas'!D:D,0)</f>
        <v>#REF!</v>
      </c>
    </row>
    <row r="64" spans="1:14" ht="15.95" customHeight="1" x14ac:dyDescent="0.25">
      <c r="A64" s="418"/>
      <c r="B64" s="418"/>
      <c r="C64" s="419" t="s">
        <v>439</v>
      </c>
      <c r="D64" s="413" t="s">
        <v>754</v>
      </c>
      <c r="E64" s="608">
        <v>1000000</v>
      </c>
      <c r="F64" s="438"/>
      <c r="G64" s="439">
        <v>1000000</v>
      </c>
      <c r="H64" s="439"/>
      <c r="I64" s="414">
        <f t="shared" si="5"/>
        <v>2000000</v>
      </c>
      <c r="J64" s="404" t="e">
        <f>+MATCH(#REF!,'inv rubricas'!D:D,0)</f>
        <v>#REF!</v>
      </c>
    </row>
    <row r="65" spans="1:10" ht="15.95" customHeight="1" x14ac:dyDescent="0.25">
      <c r="A65" s="400" t="s">
        <v>884</v>
      </c>
      <c r="B65" s="412" t="s">
        <v>843</v>
      </c>
      <c r="C65" s="427"/>
      <c r="D65" s="427" t="s">
        <v>885</v>
      </c>
      <c r="E65" s="426">
        <f t="shared" ref="E65:H66" si="6">E66</f>
        <v>2000000</v>
      </c>
      <c r="F65" s="426">
        <f t="shared" si="6"/>
        <v>0</v>
      </c>
      <c r="G65" s="426">
        <f t="shared" si="6"/>
        <v>1000000</v>
      </c>
      <c r="H65" s="426">
        <f t="shared" si="6"/>
        <v>0</v>
      </c>
      <c r="I65" s="426">
        <f t="shared" si="5"/>
        <v>3000000</v>
      </c>
    </row>
    <row r="66" spans="1:10" ht="15.95" customHeight="1" x14ac:dyDescent="0.25">
      <c r="A66" s="400"/>
      <c r="B66" s="400">
        <v>1</v>
      </c>
      <c r="C66" s="424"/>
      <c r="D66" s="427" t="s">
        <v>886</v>
      </c>
      <c r="E66" s="426">
        <f t="shared" si="6"/>
        <v>2000000</v>
      </c>
      <c r="F66" s="436">
        <f t="shared" si="6"/>
        <v>0</v>
      </c>
      <c r="G66" s="440">
        <f t="shared" si="6"/>
        <v>1000000</v>
      </c>
      <c r="H66" s="440">
        <f t="shared" si="6"/>
        <v>0</v>
      </c>
      <c r="I66" s="426">
        <f t="shared" si="5"/>
        <v>3000000</v>
      </c>
    </row>
    <row r="67" spans="1:10" s="125" customFormat="1" ht="15.95" customHeight="1" x14ac:dyDescent="0.25">
      <c r="A67" s="418"/>
      <c r="B67" s="418"/>
      <c r="C67" s="419" t="s">
        <v>471</v>
      </c>
      <c r="D67" s="413" t="s">
        <v>735</v>
      </c>
      <c r="E67" s="608">
        <v>2000000</v>
      </c>
      <c r="F67" s="438"/>
      <c r="G67" s="439">
        <v>1000000</v>
      </c>
      <c r="H67" s="439">
        <v>0</v>
      </c>
      <c r="I67" s="414">
        <f t="shared" si="5"/>
        <v>3000000</v>
      </c>
      <c r="J67" s="404">
        <f>+MATCH(D70,'inv rubricas'!D:D,0)</f>
        <v>23</v>
      </c>
    </row>
    <row r="68" spans="1:10" s="125" customFormat="1" ht="15.95" customHeight="1" x14ac:dyDescent="0.25">
      <c r="A68" s="428"/>
      <c r="B68" s="428">
        <v>5</v>
      </c>
      <c r="C68" s="424"/>
      <c r="D68" s="427" t="s">
        <v>887</v>
      </c>
      <c r="E68" s="426">
        <f t="shared" ref="E68:H69" si="7">+E69</f>
        <v>5000000</v>
      </c>
      <c r="F68" s="436">
        <f t="shared" si="7"/>
        <v>0</v>
      </c>
      <c r="G68" s="440">
        <f t="shared" si="7"/>
        <v>0</v>
      </c>
      <c r="H68" s="440">
        <f t="shared" si="7"/>
        <v>0</v>
      </c>
      <c r="I68" s="426">
        <f t="shared" si="5"/>
        <v>5000000</v>
      </c>
    </row>
    <row r="69" spans="1:10" s="125" customFormat="1" ht="15.95" customHeight="1" x14ac:dyDescent="0.25">
      <c r="A69" s="428"/>
      <c r="B69" s="428">
        <v>1</v>
      </c>
      <c r="C69" s="424"/>
      <c r="D69" s="427" t="s">
        <v>888</v>
      </c>
      <c r="E69" s="426">
        <f t="shared" si="7"/>
        <v>5000000</v>
      </c>
      <c r="F69" s="436">
        <f t="shared" si="7"/>
        <v>0</v>
      </c>
      <c r="G69" s="440">
        <f t="shared" si="7"/>
        <v>0</v>
      </c>
      <c r="H69" s="440">
        <f t="shared" si="7"/>
        <v>0</v>
      </c>
      <c r="I69" s="426">
        <f t="shared" si="5"/>
        <v>5000000</v>
      </c>
    </row>
    <row r="70" spans="1:10" s="125" customFormat="1" ht="15.95" customHeight="1" x14ac:dyDescent="0.25">
      <c r="A70" s="418"/>
      <c r="B70" s="418"/>
      <c r="C70" s="419" t="s">
        <v>471</v>
      </c>
      <c r="D70" s="413" t="s">
        <v>889</v>
      </c>
      <c r="E70" s="608">
        <v>5000000</v>
      </c>
      <c r="F70" s="438"/>
      <c r="G70" s="439"/>
      <c r="H70" s="439"/>
      <c r="I70" s="414">
        <f t="shared" si="5"/>
        <v>5000000</v>
      </c>
      <c r="J70" s="404" t="e">
        <f>+MATCH(D73,'inv rubricas'!D:D,0)</f>
        <v>#N/A</v>
      </c>
    </row>
    <row r="71" spans="1:10" ht="15.95" customHeight="1" x14ac:dyDescent="0.25">
      <c r="A71" s="400">
        <v>5</v>
      </c>
      <c r="B71" s="412" t="s">
        <v>868</v>
      </c>
      <c r="C71" s="434"/>
      <c r="D71" s="427" t="s">
        <v>812</v>
      </c>
      <c r="E71" s="426">
        <f>E72+E78+E90+E98+E86+E95</f>
        <v>67800000</v>
      </c>
      <c r="F71" s="426">
        <f>F72+F78+F90+F98+F86+F95</f>
        <v>140000000</v>
      </c>
      <c r="G71" s="426">
        <f>G72+G78+G90+G98+G86+G95</f>
        <v>12500000</v>
      </c>
      <c r="H71" s="426">
        <f>H72+H78+H98+H86+H90</f>
        <v>0</v>
      </c>
      <c r="I71" s="426">
        <f t="shared" si="5"/>
        <v>220300000</v>
      </c>
    </row>
    <row r="72" spans="1:10" ht="15.95" customHeight="1" x14ac:dyDescent="0.25">
      <c r="A72" s="400"/>
      <c r="B72" s="412" t="s">
        <v>847</v>
      </c>
      <c r="C72" s="434"/>
      <c r="D72" s="427" t="s">
        <v>890</v>
      </c>
      <c r="E72" s="426">
        <f>+E73</f>
        <v>19500000</v>
      </c>
      <c r="F72" s="426">
        <f>+F73</f>
        <v>0</v>
      </c>
      <c r="G72" s="426">
        <f>+G73</f>
        <v>0</v>
      </c>
      <c r="H72" s="426">
        <f>+H73</f>
        <v>0</v>
      </c>
      <c r="I72" s="426">
        <f t="shared" si="5"/>
        <v>19500000</v>
      </c>
    </row>
    <row r="73" spans="1:10" ht="15.95" customHeight="1" x14ac:dyDescent="0.25">
      <c r="A73" s="400"/>
      <c r="B73" s="412"/>
      <c r="C73" s="434"/>
      <c r="D73" s="427" t="s">
        <v>891</v>
      </c>
      <c r="E73" s="426">
        <f>+E74+E75+E76+E77</f>
        <v>19500000</v>
      </c>
      <c r="F73" s="426">
        <f>+F74+F75+F76+F77</f>
        <v>0</v>
      </c>
      <c r="G73" s="426">
        <f>+G74+G75+G76+G77</f>
        <v>0</v>
      </c>
      <c r="H73" s="426">
        <f>+H74+H75+H76+H77</f>
        <v>0</v>
      </c>
      <c r="I73" s="426">
        <f t="shared" si="5"/>
        <v>19500000</v>
      </c>
    </row>
    <row r="74" spans="1:10" s="125" customFormat="1" ht="15.95" customHeight="1" x14ac:dyDescent="0.25">
      <c r="A74" s="400"/>
      <c r="B74" s="412"/>
      <c r="C74" s="409" t="s">
        <v>487</v>
      </c>
      <c r="D74" s="413" t="s">
        <v>761</v>
      </c>
      <c r="E74" s="608">
        <v>1000000</v>
      </c>
      <c r="F74" s="414">
        <v>0</v>
      </c>
      <c r="G74" s="414">
        <v>0</v>
      </c>
      <c r="H74" s="414">
        <v>0</v>
      </c>
      <c r="I74" s="414">
        <f t="shared" si="5"/>
        <v>1000000</v>
      </c>
      <c r="J74" s="404">
        <f>+MATCH(D77,'inv rubricas'!D:D,0)</f>
        <v>27</v>
      </c>
    </row>
    <row r="75" spans="1:10" s="125" customFormat="1" ht="15.95" customHeight="1" x14ac:dyDescent="0.25">
      <c r="A75" s="400"/>
      <c r="B75" s="412"/>
      <c r="C75" s="419" t="s">
        <v>471</v>
      </c>
      <c r="D75" s="413" t="s">
        <v>763</v>
      </c>
      <c r="E75" s="608">
        <v>15000000</v>
      </c>
      <c r="F75" s="414">
        <v>0</v>
      </c>
      <c r="G75" s="414">
        <v>0</v>
      </c>
      <c r="H75" s="414">
        <v>0</v>
      </c>
      <c r="I75" s="414">
        <f t="shared" si="5"/>
        <v>15000000</v>
      </c>
      <c r="J75" s="404" t="e">
        <f>+MATCH(D78,'inv rubricas'!D:D,0)</f>
        <v>#N/A</v>
      </c>
    </row>
    <row r="76" spans="1:10" s="125" customFormat="1" ht="15.95" customHeight="1" x14ac:dyDescent="0.25">
      <c r="A76" s="400"/>
      <c r="B76" s="412"/>
      <c r="C76" s="419" t="s">
        <v>439</v>
      </c>
      <c r="D76" s="413" t="s">
        <v>892</v>
      </c>
      <c r="E76" s="608">
        <v>2500000</v>
      </c>
      <c r="F76" s="414"/>
      <c r="G76" s="414">
        <v>0</v>
      </c>
      <c r="H76" s="414">
        <v>0</v>
      </c>
      <c r="I76" s="414">
        <f t="shared" si="5"/>
        <v>2500000</v>
      </c>
      <c r="J76" s="404" t="e">
        <f>+MATCH(D79,'inv rubricas'!D:D,0)</f>
        <v>#N/A</v>
      </c>
    </row>
    <row r="77" spans="1:10" s="125" customFormat="1" ht="15.95" customHeight="1" x14ac:dyDescent="0.25">
      <c r="A77" s="400"/>
      <c r="B77" s="412"/>
      <c r="C77" s="419" t="s">
        <v>439</v>
      </c>
      <c r="D77" s="413" t="s">
        <v>764</v>
      </c>
      <c r="E77" s="608">
        <v>1000000</v>
      </c>
      <c r="F77" s="414"/>
      <c r="G77" s="414">
        <v>0</v>
      </c>
      <c r="H77" s="414">
        <v>0</v>
      </c>
      <c r="I77" s="414">
        <f t="shared" si="5"/>
        <v>1000000</v>
      </c>
      <c r="J77" s="404">
        <f>+MATCH(D80,'inv rubricas'!D:D,0)</f>
        <v>28</v>
      </c>
    </row>
    <row r="78" spans="1:10" ht="15.95" customHeight="1" x14ac:dyDescent="0.25">
      <c r="A78" s="400">
        <v>5</v>
      </c>
      <c r="B78" s="412" t="s">
        <v>854</v>
      </c>
      <c r="C78" s="434"/>
      <c r="D78" s="427" t="s">
        <v>893</v>
      </c>
      <c r="E78" s="426">
        <f>+E79</f>
        <v>11800000</v>
      </c>
      <c r="F78" s="426">
        <f>SUM(F79:F79)</f>
        <v>2700000</v>
      </c>
      <c r="G78" s="426">
        <f>SUM(G79:G79)</f>
        <v>0</v>
      </c>
      <c r="H78" s="426">
        <f>SUM(H79:H79)</f>
        <v>0</v>
      </c>
      <c r="I78" s="426">
        <f t="shared" si="5"/>
        <v>14500000</v>
      </c>
    </row>
    <row r="79" spans="1:10" ht="15.95" customHeight="1" x14ac:dyDescent="0.25">
      <c r="A79" s="400"/>
      <c r="B79" s="400">
        <v>1</v>
      </c>
      <c r="C79" s="424"/>
      <c r="D79" s="427" t="s">
        <v>894</v>
      </c>
      <c r="E79" s="426">
        <f>SUM(E80:E85)</f>
        <v>11800000</v>
      </c>
      <c r="F79" s="426">
        <f>SUM(F80:F85)</f>
        <v>2700000</v>
      </c>
      <c r="G79" s="436">
        <f>G80+G81+G82+G84+G85</f>
        <v>0</v>
      </c>
      <c r="H79" s="436">
        <f>H80+H81+H84+H85+H82+H83</f>
        <v>0</v>
      </c>
      <c r="I79" s="440">
        <f t="shared" si="5"/>
        <v>14500000</v>
      </c>
    </row>
    <row r="80" spans="1:10" s="125" customFormat="1" ht="15.95" customHeight="1" x14ac:dyDescent="0.25">
      <c r="A80" s="418"/>
      <c r="B80" s="418"/>
      <c r="C80" s="419" t="s">
        <v>451</v>
      </c>
      <c r="D80" s="413" t="s">
        <v>895</v>
      </c>
      <c r="E80" s="608">
        <v>4000000</v>
      </c>
      <c r="F80" s="438"/>
      <c r="G80" s="438"/>
      <c r="H80" s="438">
        <v>0</v>
      </c>
      <c r="I80" s="438">
        <f t="shared" si="5"/>
        <v>4000000</v>
      </c>
      <c r="J80" s="404">
        <f>+MATCH(D83,'inv rubricas'!D:D,0)</f>
        <v>31</v>
      </c>
    </row>
    <row r="81" spans="1:10" s="125" customFormat="1" ht="15.95" customHeight="1" x14ac:dyDescent="0.25">
      <c r="A81" s="418"/>
      <c r="B81" s="418"/>
      <c r="C81" s="429" t="s">
        <v>471</v>
      </c>
      <c r="D81" s="430" t="s">
        <v>896</v>
      </c>
      <c r="E81" s="610">
        <v>700000</v>
      </c>
      <c r="F81" s="441"/>
      <c r="G81" s="441"/>
      <c r="H81" s="441">
        <v>0</v>
      </c>
      <c r="I81" s="441">
        <f t="shared" si="5"/>
        <v>700000</v>
      </c>
      <c r="J81" s="404">
        <f>+MATCH(D84,'inv rubricas'!D:D,0)</f>
        <v>32</v>
      </c>
    </row>
    <row r="82" spans="1:10" s="125" customFormat="1" ht="15.95" customHeight="1" x14ac:dyDescent="0.25">
      <c r="A82" s="418"/>
      <c r="B82" s="418"/>
      <c r="C82" s="409" t="s">
        <v>487</v>
      </c>
      <c r="D82" s="413" t="s">
        <v>744</v>
      </c>
      <c r="E82" s="608">
        <v>4000000</v>
      </c>
      <c r="F82" s="438">
        <v>0</v>
      </c>
      <c r="G82" s="438">
        <v>0</v>
      </c>
      <c r="H82" s="438">
        <v>0</v>
      </c>
      <c r="I82" s="438">
        <f t="shared" si="5"/>
        <v>4000000</v>
      </c>
      <c r="J82" s="404">
        <f>+MATCH(D85,'inv rubricas'!D:D,0)</f>
        <v>33</v>
      </c>
    </row>
    <row r="83" spans="1:10" s="125" customFormat="1" ht="15.95" customHeight="1" x14ac:dyDescent="0.25">
      <c r="A83" s="418"/>
      <c r="B83" s="418"/>
      <c r="C83" s="442" t="s">
        <v>897</v>
      </c>
      <c r="D83" s="429" t="s">
        <v>898</v>
      </c>
      <c r="E83" s="610">
        <v>100000</v>
      </c>
      <c r="F83" s="438">
        <v>2700000</v>
      </c>
      <c r="G83" s="438"/>
      <c r="H83" s="438"/>
      <c r="I83" s="438">
        <f t="shared" si="5"/>
        <v>2800000</v>
      </c>
      <c r="J83" s="404" t="e">
        <f>+MATCH(D86,'inv rubricas'!D:D,0)</f>
        <v>#N/A</v>
      </c>
    </row>
    <row r="84" spans="1:10" s="125" customFormat="1" ht="15.95" customHeight="1" x14ac:dyDescent="0.25">
      <c r="A84" s="418"/>
      <c r="B84" s="418"/>
      <c r="C84" s="419" t="s">
        <v>471</v>
      </c>
      <c r="D84" s="413" t="s">
        <v>758</v>
      </c>
      <c r="E84" s="608">
        <v>2000000</v>
      </c>
      <c r="F84" s="438"/>
      <c r="G84" s="438"/>
      <c r="H84" s="438">
        <v>0</v>
      </c>
      <c r="I84" s="438">
        <f t="shared" si="5"/>
        <v>2000000</v>
      </c>
      <c r="J84" s="404" t="e">
        <f>+MATCH(D87,'inv rubricas'!D:D,0)</f>
        <v>#N/A</v>
      </c>
    </row>
    <row r="85" spans="1:10" s="125" customFormat="1" ht="15.95" customHeight="1" x14ac:dyDescent="0.25">
      <c r="A85" s="418"/>
      <c r="B85" s="418"/>
      <c r="C85" s="419" t="s">
        <v>471</v>
      </c>
      <c r="D85" s="413" t="s">
        <v>899</v>
      </c>
      <c r="E85" s="608">
        <v>1000000</v>
      </c>
      <c r="F85" s="438"/>
      <c r="G85" s="438"/>
      <c r="H85" s="438">
        <v>0</v>
      </c>
      <c r="I85" s="439">
        <f t="shared" si="5"/>
        <v>1000000</v>
      </c>
      <c r="J85" s="404">
        <f>+MATCH(D88,'inv rubricas'!D:D,0)</f>
        <v>34</v>
      </c>
    </row>
    <row r="86" spans="1:10" s="125" customFormat="1" ht="15" customHeight="1" x14ac:dyDescent="0.25">
      <c r="A86" s="428"/>
      <c r="B86" s="412" t="s">
        <v>868</v>
      </c>
      <c r="C86" s="424"/>
      <c r="D86" s="427" t="s">
        <v>900</v>
      </c>
      <c r="E86" s="426">
        <f>+E87</f>
        <v>2500000</v>
      </c>
      <c r="F86" s="436">
        <f>+F87</f>
        <v>23800000</v>
      </c>
      <c r="G86" s="436">
        <f>+G87</f>
        <v>8000000</v>
      </c>
      <c r="H86" s="436">
        <f>+H87</f>
        <v>0</v>
      </c>
      <c r="I86" s="440">
        <f t="shared" si="5"/>
        <v>34300000</v>
      </c>
    </row>
    <row r="87" spans="1:10" s="443" customFormat="1" ht="15" customHeight="1" x14ac:dyDescent="0.25">
      <c r="A87" s="428"/>
      <c r="B87" s="428">
        <v>1</v>
      </c>
      <c r="C87" s="424"/>
      <c r="D87" s="427" t="s">
        <v>901</v>
      </c>
      <c r="E87" s="426">
        <f>+E88+E89</f>
        <v>2500000</v>
      </c>
      <c r="F87" s="426">
        <f t="shared" ref="F87:H87" si="8">+F88+F89</f>
        <v>23800000</v>
      </c>
      <c r="G87" s="426">
        <f t="shared" si="8"/>
        <v>8000000</v>
      </c>
      <c r="H87" s="426">
        <f t="shared" si="8"/>
        <v>0</v>
      </c>
      <c r="I87" s="440">
        <f t="shared" si="5"/>
        <v>34300000</v>
      </c>
      <c r="J87" s="443">
        <f>47000000*0.25</f>
        <v>11750000</v>
      </c>
    </row>
    <row r="88" spans="1:10" s="450" customFormat="1" ht="25.5" customHeight="1" x14ac:dyDescent="0.25">
      <c r="A88" s="444"/>
      <c r="B88" s="444">
        <v>1</v>
      </c>
      <c r="C88" s="445" t="s">
        <v>487</v>
      </c>
      <c r="D88" s="446" t="s">
        <v>766</v>
      </c>
      <c r="E88" s="611">
        <v>1500000</v>
      </c>
      <c r="F88" s="448">
        <v>23800000</v>
      </c>
      <c r="G88" s="448">
        <v>0</v>
      </c>
      <c r="H88" s="448">
        <v>0</v>
      </c>
      <c r="I88" s="449">
        <f t="shared" si="5"/>
        <v>25300000</v>
      </c>
      <c r="J88" s="404" t="e">
        <f>+MATCH(D91,'inv rubricas'!D:D,0)</f>
        <v>#N/A</v>
      </c>
    </row>
    <row r="89" spans="1:10" s="450" customFormat="1" ht="24.75" customHeight="1" x14ac:dyDescent="0.25">
      <c r="A89" s="444"/>
      <c r="B89" s="444"/>
      <c r="C89" s="445" t="s">
        <v>487</v>
      </c>
      <c r="D89" s="446" t="s">
        <v>1032</v>
      </c>
      <c r="E89" s="611">
        <v>1000000</v>
      </c>
      <c r="F89" s="448"/>
      <c r="G89" s="448">
        <v>8000000</v>
      </c>
      <c r="H89" s="448">
        <v>0</v>
      </c>
      <c r="I89" s="449">
        <f t="shared" ref="I89:I112" si="9">+SUM(E89:H89)</f>
        <v>9000000</v>
      </c>
      <c r="J89" s="404" t="e">
        <f>+MATCH(#REF!,'inv rubricas'!D:D,0)</f>
        <v>#REF!</v>
      </c>
    </row>
    <row r="90" spans="1:10" ht="15.95" customHeight="1" x14ac:dyDescent="0.25">
      <c r="A90" s="400">
        <v>5</v>
      </c>
      <c r="B90" s="412" t="s">
        <v>843</v>
      </c>
      <c r="C90" s="434"/>
      <c r="D90" s="427" t="s">
        <v>903</v>
      </c>
      <c r="E90" s="426">
        <f>E91</f>
        <v>8000000</v>
      </c>
      <c r="F90" s="426">
        <f>F91</f>
        <v>9000000</v>
      </c>
      <c r="G90" s="426">
        <f>G91</f>
        <v>500000</v>
      </c>
      <c r="H90" s="426">
        <f>H91</f>
        <v>0</v>
      </c>
      <c r="I90" s="426">
        <f t="shared" si="9"/>
        <v>17500000</v>
      </c>
    </row>
    <row r="91" spans="1:10" ht="15.95" customHeight="1" x14ac:dyDescent="0.25">
      <c r="A91" s="400"/>
      <c r="B91" s="400">
        <v>1</v>
      </c>
      <c r="C91" s="434"/>
      <c r="D91" s="427" t="s">
        <v>904</v>
      </c>
      <c r="E91" s="426">
        <f>+SUM(E92:E94)</f>
        <v>8000000</v>
      </c>
      <c r="F91" s="426">
        <f t="shared" ref="F91:H91" si="10">+SUM(F92:F94)</f>
        <v>9000000</v>
      </c>
      <c r="G91" s="426">
        <f t="shared" si="10"/>
        <v>500000</v>
      </c>
      <c r="H91" s="426">
        <f t="shared" si="10"/>
        <v>0</v>
      </c>
      <c r="I91" s="426">
        <f t="shared" si="9"/>
        <v>17500000</v>
      </c>
    </row>
    <row r="92" spans="1:10" s="450" customFormat="1" ht="21" customHeight="1" x14ac:dyDescent="0.25">
      <c r="A92" s="444"/>
      <c r="B92" s="444"/>
      <c r="C92" s="456" t="s">
        <v>487</v>
      </c>
      <c r="D92" s="454" t="s">
        <v>907</v>
      </c>
      <c r="E92" s="612">
        <v>1000000</v>
      </c>
      <c r="F92" s="447">
        <v>0</v>
      </c>
      <c r="G92" s="447">
        <v>500000</v>
      </c>
      <c r="H92" s="447">
        <v>0</v>
      </c>
      <c r="I92" s="447">
        <f t="shared" si="9"/>
        <v>1500000</v>
      </c>
      <c r="J92" s="404" t="e">
        <f>+MATCH(D95,'inv rubricas'!D:D,0)</f>
        <v>#N/A</v>
      </c>
    </row>
    <row r="93" spans="1:10" s="450" customFormat="1" ht="24.75" customHeight="1" x14ac:dyDescent="0.25">
      <c r="A93" s="444"/>
      <c r="B93" s="444"/>
      <c r="C93" s="457" t="s">
        <v>451</v>
      </c>
      <c r="D93" s="452" t="s">
        <v>745</v>
      </c>
      <c r="E93" s="611">
        <v>1000000</v>
      </c>
      <c r="F93" s="447"/>
      <c r="G93" s="447">
        <v>0</v>
      </c>
      <c r="H93" s="447">
        <v>0</v>
      </c>
      <c r="I93" s="447">
        <f t="shared" si="9"/>
        <v>1000000</v>
      </c>
      <c r="J93" s="404" t="e">
        <f>+MATCH(D96,'inv rubricas'!D:D,0)</f>
        <v>#N/A</v>
      </c>
    </row>
    <row r="94" spans="1:10" s="125" customFormat="1" ht="15.95" customHeight="1" x14ac:dyDescent="0.25">
      <c r="A94" s="418"/>
      <c r="B94" s="418"/>
      <c r="C94" s="457" t="s">
        <v>451</v>
      </c>
      <c r="D94" s="437" t="s">
        <v>908</v>
      </c>
      <c r="E94" s="608">
        <v>6000000</v>
      </c>
      <c r="F94" s="414">
        <v>9000000</v>
      </c>
      <c r="G94" s="414">
        <v>0</v>
      </c>
      <c r="H94" s="414">
        <v>0</v>
      </c>
      <c r="I94" s="414">
        <f t="shared" si="9"/>
        <v>15000000</v>
      </c>
      <c r="J94" s="404">
        <f>+MATCH(D97,'inv rubricas'!D:D,0)</f>
        <v>41</v>
      </c>
    </row>
    <row r="95" spans="1:10" ht="15.95" customHeight="1" x14ac:dyDescent="0.25">
      <c r="A95" s="428"/>
      <c r="B95" s="428">
        <v>5</v>
      </c>
      <c r="C95" s="434"/>
      <c r="D95" s="427" t="s">
        <v>909</v>
      </c>
      <c r="E95" s="426">
        <f>+E96</f>
        <v>1000000</v>
      </c>
      <c r="F95" s="426">
        <f>+F96</f>
        <v>0</v>
      </c>
      <c r="G95" s="426">
        <f>+G96</f>
        <v>0</v>
      </c>
      <c r="H95" s="426">
        <f>+H96</f>
        <v>0</v>
      </c>
      <c r="I95" s="426">
        <f t="shared" si="9"/>
        <v>1000000</v>
      </c>
    </row>
    <row r="96" spans="1:10" ht="15.95" customHeight="1" x14ac:dyDescent="0.25">
      <c r="A96" s="428"/>
      <c r="B96" s="428">
        <v>1</v>
      </c>
      <c r="C96" s="434"/>
      <c r="D96" s="427" t="s">
        <v>910</v>
      </c>
      <c r="E96" s="426">
        <f>+E97</f>
        <v>1000000</v>
      </c>
      <c r="F96" s="426">
        <f t="shared" ref="F96:I96" si="11">+F97</f>
        <v>0</v>
      </c>
      <c r="G96" s="426">
        <f t="shared" si="11"/>
        <v>0</v>
      </c>
      <c r="H96" s="426">
        <f t="shared" si="11"/>
        <v>0</v>
      </c>
      <c r="I96" s="426">
        <f t="shared" si="11"/>
        <v>1000000</v>
      </c>
    </row>
    <row r="97" spans="1:11" s="125" customFormat="1" ht="15.95" customHeight="1" x14ac:dyDescent="0.25">
      <c r="A97" s="418"/>
      <c r="B97" s="418"/>
      <c r="C97" s="409" t="s">
        <v>487</v>
      </c>
      <c r="D97" s="413" t="s">
        <v>911</v>
      </c>
      <c r="E97" s="608">
        <v>1000000</v>
      </c>
      <c r="F97" s="414">
        <v>0</v>
      </c>
      <c r="G97" s="414">
        <v>0</v>
      </c>
      <c r="H97" s="414">
        <v>0</v>
      </c>
      <c r="I97" s="414">
        <f t="shared" si="9"/>
        <v>1000000</v>
      </c>
      <c r="J97" s="404" t="e">
        <f>+MATCH(D98,'inv rubricas'!D:D,0)</f>
        <v>#N/A</v>
      </c>
    </row>
    <row r="98" spans="1:11" ht="15.95" customHeight="1" x14ac:dyDescent="0.25">
      <c r="A98" s="400">
        <v>5</v>
      </c>
      <c r="B98" s="412" t="s">
        <v>912</v>
      </c>
      <c r="C98" s="434"/>
      <c r="D98" s="427" t="s">
        <v>913</v>
      </c>
      <c r="E98" s="426">
        <f>E99</f>
        <v>25000000</v>
      </c>
      <c r="F98" s="426">
        <f>F99</f>
        <v>104500000</v>
      </c>
      <c r="G98" s="426">
        <f>+G99</f>
        <v>4000000</v>
      </c>
      <c r="H98" s="426">
        <f>SUM(H100:H118)</f>
        <v>0</v>
      </c>
      <c r="I98" s="426">
        <f t="shared" si="9"/>
        <v>133500000</v>
      </c>
    </row>
    <row r="99" spans="1:11" ht="15.95" customHeight="1" x14ac:dyDescent="0.25">
      <c r="A99" s="400"/>
      <c r="B99" s="458" t="s">
        <v>847</v>
      </c>
      <c r="C99" s="434"/>
      <c r="D99" s="427" t="s">
        <v>914</v>
      </c>
      <c r="E99" s="426">
        <f>SUM(E100:E115)</f>
        <v>25000000</v>
      </c>
      <c r="F99" s="426">
        <f>SUM(F100:F115)</f>
        <v>104500000</v>
      </c>
      <c r="G99" s="426">
        <f>SUM(G100:G115)</f>
        <v>4000000</v>
      </c>
      <c r="H99" s="426">
        <f>SUM(H100:H115)</f>
        <v>0</v>
      </c>
      <c r="I99" s="426">
        <f t="shared" si="9"/>
        <v>133500000</v>
      </c>
    </row>
    <row r="100" spans="1:11" s="125" customFormat="1" ht="24.75" customHeight="1" x14ac:dyDescent="0.25">
      <c r="A100" s="418"/>
      <c r="B100" s="418"/>
      <c r="C100" s="457" t="s">
        <v>466</v>
      </c>
      <c r="D100" s="452" t="s">
        <v>750</v>
      </c>
      <c r="E100" s="611">
        <v>500000</v>
      </c>
      <c r="F100" s="448">
        <v>1000000</v>
      </c>
      <c r="G100" s="449">
        <v>0</v>
      </c>
      <c r="H100" s="449">
        <v>0</v>
      </c>
      <c r="I100" s="447">
        <f t="shared" si="9"/>
        <v>1500000</v>
      </c>
      <c r="J100" s="404">
        <f>+MATCH(D103,'inv rubricas'!D:D,0)</f>
        <v>45</v>
      </c>
    </row>
    <row r="101" spans="1:11" s="450" customFormat="1" ht="25.5" customHeight="1" x14ac:dyDescent="0.25">
      <c r="A101" s="444"/>
      <c r="B101" s="444"/>
      <c r="C101" s="451" t="s">
        <v>471</v>
      </c>
      <c r="D101" s="452" t="s">
        <v>757</v>
      </c>
      <c r="E101" s="611">
        <v>3000000</v>
      </c>
      <c r="F101" s="448">
        <v>3000000</v>
      </c>
      <c r="G101" s="449"/>
      <c r="H101" s="449">
        <v>0</v>
      </c>
      <c r="I101" s="447">
        <f t="shared" si="9"/>
        <v>6000000</v>
      </c>
      <c r="J101" s="404">
        <f>+MATCH(D104,'inv rubricas'!D:D,0)</f>
        <v>46</v>
      </c>
    </row>
    <row r="102" spans="1:11" s="125" customFormat="1" ht="24.75" customHeight="1" x14ac:dyDescent="0.25">
      <c r="A102" s="418"/>
      <c r="B102" s="418"/>
      <c r="C102" s="457" t="s">
        <v>471</v>
      </c>
      <c r="D102" s="452" t="s">
        <v>915</v>
      </c>
      <c r="E102" s="611">
        <v>1000000</v>
      </c>
      <c r="F102" s="448">
        <v>4000000</v>
      </c>
      <c r="G102" s="449"/>
      <c r="H102" s="449"/>
      <c r="I102" s="447">
        <f t="shared" si="9"/>
        <v>5000000</v>
      </c>
      <c r="J102" s="404" t="e">
        <f>+MATCH(#REF!,'inv rubricas'!D:D,0)</f>
        <v>#REF!</v>
      </c>
    </row>
    <row r="103" spans="1:11" s="125" customFormat="1" ht="24.75" customHeight="1" x14ac:dyDescent="0.25">
      <c r="A103" s="418"/>
      <c r="B103" s="418"/>
      <c r="C103" s="457" t="s">
        <v>471</v>
      </c>
      <c r="D103" s="452" t="s">
        <v>916</v>
      </c>
      <c r="E103" s="611">
        <v>1000000</v>
      </c>
      <c r="F103" s="448">
        <v>16000000</v>
      </c>
      <c r="G103" s="449">
        <v>0</v>
      </c>
      <c r="H103" s="449">
        <v>0</v>
      </c>
      <c r="I103" s="447">
        <f t="shared" si="9"/>
        <v>17000000</v>
      </c>
      <c r="J103" s="404" t="e">
        <f>+MATCH(#REF!,'inv rubricas'!D:D,0)</f>
        <v>#REF!</v>
      </c>
    </row>
    <row r="104" spans="1:11" s="450" customFormat="1" ht="27" customHeight="1" x14ac:dyDescent="0.25">
      <c r="A104" s="444"/>
      <c r="B104" s="444"/>
      <c r="C104" s="451" t="s">
        <v>471</v>
      </c>
      <c r="D104" s="452" t="s">
        <v>753</v>
      </c>
      <c r="E104" s="611">
        <v>2000000</v>
      </c>
      <c r="F104" s="448"/>
      <c r="G104" s="449">
        <v>2000000</v>
      </c>
      <c r="H104" s="449">
        <v>0</v>
      </c>
      <c r="I104" s="447">
        <f t="shared" si="9"/>
        <v>4000000</v>
      </c>
      <c r="J104" s="404" t="e">
        <f>+MATCH(D105,'inv rubricas'!D:D,0)</f>
        <v>#N/A</v>
      </c>
    </row>
    <row r="105" spans="1:11" s="125" customFormat="1" ht="27.75" customHeight="1" x14ac:dyDescent="0.25">
      <c r="A105" s="418"/>
      <c r="B105" s="418"/>
      <c r="C105" s="461" t="s">
        <v>471</v>
      </c>
      <c r="D105" s="454" t="s">
        <v>1028</v>
      </c>
      <c r="E105" s="610">
        <v>5000000</v>
      </c>
      <c r="F105" s="441">
        <v>3000000</v>
      </c>
      <c r="G105" s="462"/>
      <c r="H105" s="462"/>
      <c r="I105" s="431">
        <f t="shared" si="9"/>
        <v>8000000</v>
      </c>
      <c r="J105" s="404">
        <f>+MATCH(D107,'inv rubricas'!D:D,0)</f>
        <v>50</v>
      </c>
      <c r="K105" s="384"/>
    </row>
    <row r="106" spans="1:11" s="450" customFormat="1" ht="30" customHeight="1" x14ac:dyDescent="0.25">
      <c r="A106" s="444"/>
      <c r="B106" s="444"/>
      <c r="C106" s="451" t="s">
        <v>471</v>
      </c>
      <c r="D106" s="454" t="s">
        <v>919</v>
      </c>
      <c r="E106" s="611">
        <v>2000000</v>
      </c>
      <c r="F106" s="448">
        <v>10000000</v>
      </c>
      <c r="G106" s="449">
        <v>0</v>
      </c>
      <c r="H106" s="449">
        <v>0</v>
      </c>
      <c r="I106" s="447">
        <f t="shared" si="9"/>
        <v>12000000</v>
      </c>
      <c r="J106" s="404" t="e">
        <f>+MATCH(#REF!,'inv rubricas'!D:D,0)</f>
        <v>#REF!</v>
      </c>
      <c r="K106" s="463"/>
    </row>
    <row r="107" spans="1:11" s="125" customFormat="1" ht="42" customHeight="1" x14ac:dyDescent="0.25">
      <c r="A107" s="418"/>
      <c r="B107" s="418"/>
      <c r="C107" s="453" t="s">
        <v>471</v>
      </c>
      <c r="D107" s="454" t="s">
        <v>920</v>
      </c>
      <c r="E107" s="612">
        <v>500000</v>
      </c>
      <c r="F107" s="459">
        <v>3000000</v>
      </c>
      <c r="G107" s="460">
        <v>0</v>
      </c>
      <c r="H107" s="460">
        <v>0</v>
      </c>
      <c r="I107" s="455">
        <f t="shared" si="9"/>
        <v>3500000</v>
      </c>
      <c r="J107" s="404" t="e">
        <f>+MATCH(#REF!,'inv rubricas'!D:D,0)</f>
        <v>#REF!</v>
      </c>
      <c r="K107" s="384"/>
    </row>
    <row r="108" spans="1:11" s="125" customFormat="1" ht="27.75" customHeight="1" x14ac:dyDescent="0.25">
      <c r="A108" s="418"/>
      <c r="B108" s="418"/>
      <c r="C108" s="457"/>
      <c r="D108" s="454" t="s">
        <v>921</v>
      </c>
      <c r="E108" s="610">
        <v>4000000</v>
      </c>
      <c r="F108" s="441">
        <v>16000000</v>
      </c>
      <c r="G108" s="462"/>
      <c r="H108" s="462"/>
      <c r="I108" s="447">
        <f t="shared" si="9"/>
        <v>20000000</v>
      </c>
      <c r="J108" s="404">
        <f>+MATCH(D110,'inv rubricas'!D:D,0)</f>
        <v>53</v>
      </c>
      <c r="K108" s="384"/>
    </row>
    <row r="109" spans="1:11" s="125" customFormat="1" ht="27.75" customHeight="1" x14ac:dyDescent="0.25">
      <c r="A109" s="418"/>
      <c r="B109" s="418"/>
      <c r="C109" s="457"/>
      <c r="D109" s="454" t="s">
        <v>1029</v>
      </c>
      <c r="E109" s="610">
        <v>500000</v>
      </c>
      <c r="F109" s="441"/>
      <c r="G109" s="462">
        <v>1000000</v>
      </c>
      <c r="H109" s="462"/>
      <c r="I109" s="447">
        <f t="shared" si="9"/>
        <v>1500000</v>
      </c>
      <c r="J109" s="404" t="e">
        <f>+MATCH(#REF!,'inv rubricas'!D:D,0)</f>
        <v>#REF!</v>
      </c>
      <c r="K109" s="384"/>
    </row>
    <row r="110" spans="1:11" s="125" customFormat="1" ht="31.5" customHeight="1" x14ac:dyDescent="0.25">
      <c r="A110" s="418"/>
      <c r="B110" s="418"/>
      <c r="C110" s="457"/>
      <c r="D110" s="454" t="s">
        <v>923</v>
      </c>
      <c r="E110" s="610">
        <v>2000000</v>
      </c>
      <c r="F110" s="441">
        <v>30000000</v>
      </c>
      <c r="G110" s="462"/>
      <c r="H110" s="462"/>
      <c r="I110" s="447">
        <f t="shared" si="9"/>
        <v>32000000</v>
      </c>
      <c r="J110" s="404">
        <f>+MATCH(D111,'inv rubricas'!D:D,0)</f>
        <v>54</v>
      </c>
      <c r="K110" s="384"/>
    </row>
    <row r="111" spans="1:11" s="125" customFormat="1" ht="24.75" customHeight="1" x14ac:dyDescent="0.25">
      <c r="A111" s="418"/>
      <c r="B111" s="418"/>
      <c r="C111" s="457"/>
      <c r="D111" s="454" t="s">
        <v>924</v>
      </c>
      <c r="E111" s="610">
        <v>1000000</v>
      </c>
      <c r="F111" s="441">
        <v>13500000</v>
      </c>
      <c r="G111" s="462"/>
      <c r="H111" s="462"/>
      <c r="I111" s="447">
        <f t="shared" si="9"/>
        <v>14500000</v>
      </c>
      <c r="J111" s="404" t="e">
        <f>+MATCH(#REF!,'inv rubricas'!D:D,0)</f>
        <v>#REF!</v>
      </c>
      <c r="K111" s="384"/>
    </row>
    <row r="112" spans="1:11" s="125" customFormat="1" ht="32.25" customHeight="1" x14ac:dyDescent="0.25">
      <c r="A112" s="418"/>
      <c r="B112" s="418"/>
      <c r="C112" s="457" t="s">
        <v>471</v>
      </c>
      <c r="D112" s="454" t="s">
        <v>925</v>
      </c>
      <c r="E112" s="610">
        <v>1000000</v>
      </c>
      <c r="F112" s="438">
        <v>1000000</v>
      </c>
      <c r="G112" s="439">
        <v>0</v>
      </c>
      <c r="H112" s="439">
        <v>0</v>
      </c>
      <c r="I112" s="414">
        <f t="shared" si="9"/>
        <v>2000000</v>
      </c>
      <c r="J112" s="404" t="e">
        <f>+MATCH(#REF!,'inv rubricas'!D:D,0)</f>
        <v>#REF!</v>
      </c>
      <c r="K112" s="384"/>
    </row>
    <row r="113" spans="1:17" s="125" customFormat="1" ht="27" customHeight="1" x14ac:dyDescent="0.25">
      <c r="A113" s="418"/>
      <c r="B113" s="418"/>
      <c r="C113" s="457" t="s">
        <v>471</v>
      </c>
      <c r="D113" s="452" t="s">
        <v>755</v>
      </c>
      <c r="E113" s="608">
        <v>500000</v>
      </c>
      <c r="F113" s="438">
        <v>2000000</v>
      </c>
      <c r="G113" s="439">
        <v>0</v>
      </c>
      <c r="H113" s="439"/>
      <c r="I113" s="414">
        <f t="shared" ref="I113:I122" si="12">+SUM(E113:H113)</f>
        <v>2500000</v>
      </c>
      <c r="J113" s="404" t="e">
        <f>+MATCH(#REF!,'inv rubricas'!D:D,0)</f>
        <v>#REF!</v>
      </c>
      <c r="K113" s="384"/>
    </row>
    <row r="114" spans="1:17" s="125" customFormat="1" ht="28.5" x14ac:dyDescent="0.25">
      <c r="A114" s="418"/>
      <c r="B114" s="418"/>
      <c r="C114" s="457" t="s">
        <v>471</v>
      </c>
      <c r="D114" s="452" t="s">
        <v>1030</v>
      </c>
      <c r="E114" s="608">
        <v>500000</v>
      </c>
      <c r="F114" s="438">
        <v>1000000</v>
      </c>
      <c r="G114" s="439">
        <v>1000000</v>
      </c>
      <c r="H114" s="439">
        <v>0</v>
      </c>
      <c r="I114" s="414">
        <f t="shared" si="12"/>
        <v>2500000</v>
      </c>
      <c r="J114" s="404" t="e">
        <f>+MATCH(D116,'inv rubricas'!D:D,0)</f>
        <v>#N/A</v>
      </c>
    </row>
    <row r="115" spans="1:17" s="450" customFormat="1" ht="28.5" x14ac:dyDescent="0.25">
      <c r="A115" s="444"/>
      <c r="B115" s="444"/>
      <c r="C115" s="451" t="s">
        <v>471</v>
      </c>
      <c r="D115" s="452" t="s">
        <v>1031</v>
      </c>
      <c r="E115" s="611">
        <v>500000</v>
      </c>
      <c r="F115" s="448">
        <v>1000000</v>
      </c>
      <c r="G115" s="449">
        <v>0</v>
      </c>
      <c r="H115" s="449">
        <v>0</v>
      </c>
      <c r="I115" s="447">
        <f t="shared" si="12"/>
        <v>1500000</v>
      </c>
      <c r="J115" s="404" t="e">
        <f>+MATCH(D118,'inv rubricas'!D:D,0)</f>
        <v>#N/A</v>
      </c>
    </row>
    <row r="116" spans="1:17" ht="15.95" customHeight="1" x14ac:dyDescent="0.25">
      <c r="A116" s="400">
        <v>6</v>
      </c>
      <c r="B116" s="458" t="s">
        <v>868</v>
      </c>
      <c r="C116" s="434"/>
      <c r="D116" s="427" t="s">
        <v>813</v>
      </c>
      <c r="E116" s="426">
        <f>E117+E120</f>
        <v>5200000</v>
      </c>
      <c r="F116" s="426">
        <f>+F117+F120</f>
        <v>9000000</v>
      </c>
      <c r="G116" s="426">
        <f>G117</f>
        <v>0</v>
      </c>
      <c r="H116" s="426">
        <f>H117</f>
        <v>0</v>
      </c>
      <c r="I116" s="426">
        <f t="shared" si="12"/>
        <v>14200000</v>
      </c>
    </row>
    <row r="117" spans="1:17" ht="15.95" customHeight="1" x14ac:dyDescent="0.25">
      <c r="A117" s="400">
        <v>6</v>
      </c>
      <c r="B117" s="458" t="s">
        <v>854</v>
      </c>
      <c r="C117" s="434"/>
      <c r="D117" s="464" t="s">
        <v>927</v>
      </c>
      <c r="E117" s="426">
        <f>+E118</f>
        <v>4000000</v>
      </c>
      <c r="F117" s="426">
        <f>+F118</f>
        <v>9000000</v>
      </c>
      <c r="G117" s="426">
        <f>+G118</f>
        <v>0</v>
      </c>
      <c r="H117" s="426">
        <f>+H118</f>
        <v>0</v>
      </c>
      <c r="I117" s="426">
        <f t="shared" si="12"/>
        <v>13000000</v>
      </c>
    </row>
    <row r="118" spans="1:17" s="468" customFormat="1" ht="27.75" customHeight="1" x14ac:dyDescent="0.25">
      <c r="A118" s="389"/>
      <c r="B118" s="465" t="s">
        <v>847</v>
      </c>
      <c r="C118" s="466"/>
      <c r="D118" s="464" t="s">
        <v>928</v>
      </c>
      <c r="E118" s="467">
        <f>E119</f>
        <v>4000000</v>
      </c>
      <c r="F118" s="467">
        <f t="shared" ref="F118:H118" si="13">F119</f>
        <v>9000000</v>
      </c>
      <c r="G118" s="467">
        <f t="shared" si="13"/>
        <v>0</v>
      </c>
      <c r="H118" s="467">
        <f t="shared" si="13"/>
        <v>0</v>
      </c>
      <c r="I118" s="467">
        <f t="shared" si="12"/>
        <v>13000000</v>
      </c>
    </row>
    <row r="119" spans="1:17" ht="15.95" customHeight="1" x14ac:dyDescent="0.25">
      <c r="A119" s="418"/>
      <c r="B119" s="418"/>
      <c r="C119" s="457" t="s">
        <v>471</v>
      </c>
      <c r="D119" s="469" t="s">
        <v>787</v>
      </c>
      <c r="E119" s="608">
        <v>4000000</v>
      </c>
      <c r="F119" s="439">
        <v>9000000</v>
      </c>
      <c r="G119" s="439">
        <v>0</v>
      </c>
      <c r="H119" s="439">
        <v>0</v>
      </c>
      <c r="I119" s="414">
        <f t="shared" si="12"/>
        <v>13000000</v>
      </c>
      <c r="J119" s="404">
        <f>+MATCH(D122,'inv rubricas'!D:D,0)</f>
        <v>60</v>
      </c>
    </row>
    <row r="120" spans="1:17" ht="15" customHeight="1" x14ac:dyDescent="0.25">
      <c r="A120" s="458"/>
      <c r="B120" s="458">
        <v>4</v>
      </c>
      <c r="C120" s="458"/>
      <c r="D120" s="464" t="s">
        <v>929</v>
      </c>
      <c r="E120" s="470">
        <f t="shared" ref="E120:H121" si="14">+E121</f>
        <v>1200000</v>
      </c>
      <c r="F120" s="471">
        <f t="shared" si="14"/>
        <v>0</v>
      </c>
      <c r="G120" s="471">
        <f t="shared" si="14"/>
        <v>0</v>
      </c>
      <c r="H120" s="471">
        <f t="shared" si="14"/>
        <v>0</v>
      </c>
      <c r="I120" s="471">
        <f t="shared" si="12"/>
        <v>1200000</v>
      </c>
    </row>
    <row r="121" spans="1:17" ht="15" customHeight="1" x14ac:dyDescent="0.25">
      <c r="A121" s="458"/>
      <c r="B121" s="458">
        <v>3</v>
      </c>
      <c r="C121" s="458"/>
      <c r="D121" s="464" t="s">
        <v>930</v>
      </c>
      <c r="E121" s="471">
        <f t="shared" si="14"/>
        <v>1200000</v>
      </c>
      <c r="F121" s="471">
        <f t="shared" si="14"/>
        <v>0</v>
      </c>
      <c r="G121" s="471">
        <f t="shared" si="14"/>
        <v>0</v>
      </c>
      <c r="H121" s="471">
        <f t="shared" si="14"/>
        <v>0</v>
      </c>
      <c r="I121" s="471">
        <f t="shared" si="12"/>
        <v>1200000</v>
      </c>
    </row>
    <row r="122" spans="1:17" ht="15" customHeight="1" x14ac:dyDescent="0.25">
      <c r="A122" s="418"/>
      <c r="B122" s="458"/>
      <c r="C122" s="457" t="s">
        <v>451</v>
      </c>
      <c r="D122" s="452" t="s">
        <v>931</v>
      </c>
      <c r="E122" s="613">
        <v>1200000</v>
      </c>
      <c r="F122" s="439"/>
      <c r="G122" s="439">
        <v>0</v>
      </c>
      <c r="H122" s="439">
        <v>0</v>
      </c>
      <c r="I122" s="439">
        <f t="shared" si="12"/>
        <v>1200000</v>
      </c>
      <c r="J122" s="404" t="e">
        <f>+MATCH(D125,'inv rubricas'!D:D,0)</f>
        <v>#N/A</v>
      </c>
    </row>
    <row r="123" spans="1:17" x14ac:dyDescent="0.25">
      <c r="C123" s="472"/>
      <c r="D123" s="473"/>
      <c r="E123" s="474"/>
      <c r="F123" s="474"/>
      <c r="G123" s="475"/>
      <c r="H123" s="474"/>
      <c r="I123" s="474"/>
    </row>
    <row r="124" spans="1:17" x14ac:dyDescent="0.25">
      <c r="D124" s="474"/>
      <c r="E124" s="474"/>
      <c r="F124" s="474"/>
      <c r="G124" s="477"/>
      <c r="H124" s="474"/>
      <c r="I124" s="474"/>
    </row>
    <row r="125" spans="1:17" ht="15.75" x14ac:dyDescent="0.25">
      <c r="A125" s="366" t="s">
        <v>376</v>
      </c>
      <c r="B125" s="366"/>
      <c r="C125" s="366"/>
      <c r="D125" s="366"/>
      <c r="E125" s="366"/>
      <c r="F125" s="366"/>
      <c r="G125" s="366"/>
      <c r="H125" s="366"/>
      <c r="I125" s="366"/>
      <c r="J125" s="89"/>
      <c r="K125" s="89"/>
      <c r="L125" s="89"/>
      <c r="M125" s="89"/>
      <c r="N125" s="89"/>
      <c r="O125" s="89"/>
      <c r="P125" s="89"/>
      <c r="Q125" s="89"/>
    </row>
    <row r="126" spans="1:17" ht="22.5" customHeight="1" x14ac:dyDescent="0.25">
      <c r="A126" s="478"/>
      <c r="B126" s="366"/>
      <c r="C126" s="366"/>
      <c r="D126" s="366"/>
      <c r="E126" s="366"/>
      <c r="F126" s="366"/>
      <c r="G126" s="366"/>
      <c r="H126" s="366"/>
      <c r="I126" s="366"/>
      <c r="J126" s="89"/>
      <c r="K126" s="208"/>
      <c r="L126" s="208"/>
      <c r="M126" s="208"/>
      <c r="N126" s="209"/>
      <c r="O126" s="89"/>
      <c r="P126" s="208"/>
      <c r="Q126" s="89"/>
    </row>
    <row r="127" spans="1:17" ht="15.75" x14ac:dyDescent="0.25">
      <c r="A127" s="479" t="s">
        <v>377</v>
      </c>
      <c r="B127" s="479"/>
      <c r="C127" s="479"/>
      <c r="D127" s="479"/>
      <c r="E127" s="479"/>
      <c r="F127" s="479"/>
      <c r="G127" s="479"/>
      <c r="H127" s="479"/>
      <c r="I127" s="479"/>
      <c r="J127" s="210"/>
      <c r="K127" s="210"/>
      <c r="L127" s="210"/>
      <c r="M127" s="210"/>
      <c r="N127" s="210"/>
      <c r="O127" s="210"/>
      <c r="P127" s="210"/>
      <c r="Q127" s="210"/>
    </row>
    <row r="128" spans="1:17" ht="15.75" x14ac:dyDescent="0.25">
      <c r="A128" s="480"/>
      <c r="B128" s="481"/>
      <c r="C128" s="480"/>
      <c r="D128" s="480"/>
      <c r="E128" s="480"/>
      <c r="F128" s="480"/>
      <c r="G128" s="480"/>
      <c r="H128" s="480"/>
      <c r="I128" s="480"/>
      <c r="J128" s="297"/>
      <c r="K128" s="297"/>
      <c r="L128" s="297"/>
      <c r="M128" s="297"/>
      <c r="N128" s="297"/>
      <c r="O128" s="297"/>
      <c r="P128" s="482"/>
      <c r="Q128" s="297"/>
    </row>
    <row r="129" spans="1:17" ht="15.75" x14ac:dyDescent="0.25">
      <c r="A129" s="483" t="s">
        <v>378</v>
      </c>
      <c r="B129" s="483"/>
      <c r="C129" s="483"/>
      <c r="D129" s="483"/>
      <c r="E129" s="483"/>
      <c r="F129" s="483"/>
      <c r="G129" s="483"/>
      <c r="H129" s="483"/>
      <c r="I129" s="483"/>
      <c r="J129" s="211"/>
      <c r="K129" s="211"/>
      <c r="L129" s="211"/>
      <c r="M129" s="211"/>
      <c r="N129" s="211"/>
      <c r="O129" s="211"/>
      <c r="P129" s="211"/>
      <c r="Q129" s="211"/>
    </row>
    <row r="130" spans="1:17" ht="15.75" x14ac:dyDescent="0.25">
      <c r="A130" s="300" t="s">
        <v>379</v>
      </c>
      <c r="B130" s="300"/>
      <c r="C130" s="300"/>
      <c r="D130" s="300"/>
      <c r="E130" s="300"/>
      <c r="F130" s="300"/>
      <c r="G130" s="300"/>
      <c r="H130" s="300"/>
      <c r="I130" s="300"/>
      <c r="J130" s="212"/>
      <c r="K130" s="212"/>
      <c r="L130" s="212"/>
      <c r="M130" s="212"/>
      <c r="N130" s="212"/>
      <c r="O130" s="212"/>
      <c r="P130" s="212"/>
      <c r="Q130" s="212"/>
    </row>
    <row r="131" spans="1:17" x14ac:dyDescent="0.25">
      <c r="A131" s="212"/>
      <c r="B131" s="212"/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</row>
    <row r="132" spans="1:17" x14ac:dyDescent="0.25">
      <c r="D132" s="474"/>
      <c r="E132" s="474"/>
      <c r="F132" s="474"/>
      <c r="G132" s="474"/>
      <c r="H132" s="474"/>
      <c r="I132" s="474"/>
    </row>
    <row r="133" spans="1:17" x14ac:dyDescent="0.25">
      <c r="D133" s="484"/>
      <c r="E133" s="484"/>
      <c r="F133" s="484"/>
      <c r="G133" s="484"/>
      <c r="H133" s="484"/>
      <c r="I133" s="484"/>
    </row>
    <row r="134" spans="1:17" x14ac:dyDescent="0.25">
      <c r="D134" s="485"/>
      <c r="E134" s="485"/>
      <c r="F134" s="485"/>
      <c r="G134" s="485"/>
      <c r="H134" s="485"/>
      <c r="I134" s="485"/>
    </row>
    <row r="135" spans="1:17" x14ac:dyDescent="0.25">
      <c r="D135" s="485"/>
      <c r="E135" s="485"/>
      <c r="F135" s="485"/>
      <c r="G135" s="485"/>
      <c r="H135" s="485"/>
      <c r="I135" s="485"/>
    </row>
    <row r="136" spans="1:17" x14ac:dyDescent="0.25">
      <c r="D136" s="474"/>
      <c r="E136" s="474"/>
      <c r="F136" s="474"/>
      <c r="G136" s="474"/>
      <c r="H136" s="474"/>
      <c r="I136" s="474"/>
    </row>
    <row r="137" spans="1:17" x14ac:dyDescent="0.25">
      <c r="D137" s="484"/>
      <c r="E137" s="484"/>
      <c r="F137" s="484"/>
      <c r="G137" s="484"/>
      <c r="H137" s="484"/>
      <c r="I137" s="484"/>
    </row>
    <row r="138" spans="1:17" x14ac:dyDescent="0.25">
      <c r="D138" s="474"/>
      <c r="E138" s="474"/>
      <c r="F138" s="474"/>
      <c r="G138" s="474"/>
      <c r="H138" s="474"/>
      <c r="I138" s="474"/>
    </row>
    <row r="139" spans="1:17" x14ac:dyDescent="0.25">
      <c r="D139" s="474"/>
      <c r="E139" s="474"/>
      <c r="F139" s="474"/>
      <c r="G139" s="474"/>
      <c r="H139" s="474"/>
      <c r="I139" s="474"/>
    </row>
    <row r="140" spans="1:17" x14ac:dyDescent="0.25">
      <c r="D140" s="474"/>
      <c r="E140" s="474"/>
      <c r="F140" s="474"/>
      <c r="G140" s="474"/>
      <c r="H140" s="474"/>
      <c r="I140" s="474"/>
    </row>
    <row r="141" spans="1:17" x14ac:dyDescent="0.25">
      <c r="D141" s="484"/>
      <c r="E141" s="484"/>
      <c r="F141" s="484"/>
      <c r="G141" s="484"/>
      <c r="H141" s="484"/>
      <c r="I141" s="484"/>
    </row>
    <row r="142" spans="1:17" x14ac:dyDescent="0.25">
      <c r="D142" s="474"/>
      <c r="E142" s="474"/>
      <c r="F142" s="474"/>
      <c r="G142" s="474"/>
      <c r="H142" s="474"/>
      <c r="I142" s="474"/>
    </row>
    <row r="143" spans="1:17" x14ac:dyDescent="0.25">
      <c r="D143" s="474"/>
      <c r="E143" s="474"/>
      <c r="F143" s="474"/>
      <c r="G143" s="474"/>
      <c r="H143" s="474"/>
      <c r="I143" s="474"/>
    </row>
    <row r="144" spans="1:17" x14ac:dyDescent="0.25">
      <c r="D144" s="474"/>
      <c r="E144" s="474"/>
      <c r="F144" s="474"/>
      <c r="G144" s="474"/>
      <c r="H144" s="474"/>
      <c r="I144" s="474"/>
    </row>
    <row r="145" spans="4:9" x14ac:dyDescent="0.25">
      <c r="D145" s="484"/>
      <c r="E145" s="484"/>
      <c r="F145" s="484"/>
      <c r="G145" s="484"/>
      <c r="H145" s="484"/>
      <c r="I145" s="484"/>
    </row>
    <row r="146" spans="4:9" x14ac:dyDescent="0.25">
      <c r="D146" s="486"/>
      <c r="E146" s="486"/>
      <c r="F146" s="486"/>
      <c r="G146" s="486"/>
      <c r="H146" s="486"/>
      <c r="I146" s="486"/>
    </row>
    <row r="147" spans="4:9" x14ac:dyDescent="0.25">
      <c r="D147" s="474"/>
      <c r="E147" s="474"/>
      <c r="F147" s="474"/>
      <c r="G147" s="474"/>
      <c r="H147" s="474"/>
      <c r="I147" s="474"/>
    </row>
    <row r="148" spans="4:9" x14ac:dyDescent="0.25">
      <c r="D148" s="474"/>
      <c r="E148" s="474"/>
      <c r="F148" s="474"/>
      <c r="G148" s="474"/>
      <c r="H148" s="474"/>
      <c r="I148" s="474"/>
    </row>
    <row r="149" spans="4:9" x14ac:dyDescent="0.25">
      <c r="D149" s="484"/>
      <c r="E149" s="484"/>
      <c r="F149" s="484"/>
      <c r="G149" s="484"/>
      <c r="H149" s="484"/>
      <c r="I149" s="484"/>
    </row>
    <row r="150" spans="4:9" x14ac:dyDescent="0.25">
      <c r="D150" s="474"/>
      <c r="E150" s="474"/>
      <c r="F150" s="474"/>
      <c r="G150" s="474"/>
      <c r="H150" s="474"/>
      <c r="I150" s="474"/>
    </row>
    <row r="151" spans="4:9" x14ac:dyDescent="0.25">
      <c r="D151" s="474"/>
      <c r="E151" s="474"/>
      <c r="F151" s="474"/>
      <c r="G151" s="474"/>
      <c r="H151" s="474"/>
      <c r="I151" s="474"/>
    </row>
    <row r="152" spans="4:9" x14ac:dyDescent="0.25">
      <c r="D152" s="474"/>
      <c r="E152" s="474"/>
      <c r="F152" s="474"/>
      <c r="G152" s="474"/>
      <c r="H152" s="474"/>
      <c r="I152" s="474"/>
    </row>
    <row r="153" spans="4:9" x14ac:dyDescent="0.25">
      <c r="D153" s="474"/>
      <c r="E153" s="474"/>
      <c r="F153" s="474"/>
      <c r="G153" s="474"/>
      <c r="H153" s="474"/>
      <c r="I153" s="474"/>
    </row>
    <row r="154" spans="4:9" x14ac:dyDescent="0.25">
      <c r="D154" s="474"/>
      <c r="E154" s="474"/>
      <c r="F154" s="474"/>
      <c r="G154" s="474"/>
      <c r="H154" s="474"/>
      <c r="I154" s="474"/>
    </row>
    <row r="155" spans="4:9" x14ac:dyDescent="0.25">
      <c r="D155" s="474"/>
      <c r="E155" s="474"/>
      <c r="F155" s="474"/>
      <c r="G155" s="474"/>
      <c r="H155" s="474"/>
      <c r="I155" s="474"/>
    </row>
    <row r="156" spans="4:9" x14ac:dyDescent="0.25">
      <c r="D156" s="474"/>
      <c r="E156" s="474"/>
      <c r="F156" s="474"/>
      <c r="G156" s="474"/>
      <c r="H156" s="474"/>
      <c r="I156" s="474"/>
    </row>
    <row r="157" spans="4:9" x14ac:dyDescent="0.25">
      <c r="D157" s="474"/>
      <c r="E157" s="474"/>
      <c r="F157" s="474"/>
      <c r="G157" s="474"/>
      <c r="H157" s="474"/>
      <c r="I157" s="474"/>
    </row>
    <row r="158" spans="4:9" x14ac:dyDescent="0.25">
      <c r="D158" s="474"/>
      <c r="E158" s="474"/>
      <c r="F158" s="474"/>
      <c r="G158" s="474"/>
      <c r="H158" s="474"/>
      <c r="I158" s="474"/>
    </row>
    <row r="159" spans="4:9" x14ac:dyDescent="0.25">
      <c r="D159" s="474"/>
      <c r="E159" s="474"/>
      <c r="F159" s="474"/>
      <c r="G159" s="474"/>
      <c r="H159" s="474"/>
      <c r="I159" s="474"/>
    </row>
    <row r="160" spans="4:9" x14ac:dyDescent="0.25">
      <c r="D160" s="474"/>
      <c r="E160" s="474"/>
      <c r="F160" s="474"/>
      <c r="G160" s="474"/>
      <c r="H160" s="474"/>
      <c r="I160" s="474"/>
    </row>
    <row r="161" spans="4:9" x14ac:dyDescent="0.25">
      <c r="D161" s="484"/>
      <c r="E161" s="484"/>
      <c r="F161" s="484"/>
      <c r="G161" s="484"/>
      <c r="H161" s="484"/>
      <c r="I161" s="484"/>
    </row>
    <row r="162" spans="4:9" x14ac:dyDescent="0.25">
      <c r="D162" s="484"/>
      <c r="E162" s="484"/>
      <c r="F162" s="484"/>
      <c r="G162" s="484"/>
      <c r="H162" s="484"/>
      <c r="I162" s="484"/>
    </row>
    <row r="163" spans="4:9" x14ac:dyDescent="0.25">
      <c r="D163" s="474"/>
      <c r="E163" s="474"/>
      <c r="F163" s="474"/>
      <c r="G163" s="474"/>
      <c r="H163" s="474"/>
      <c r="I163" s="474"/>
    </row>
    <row r="164" spans="4:9" x14ac:dyDescent="0.25">
      <c r="D164" s="485"/>
      <c r="E164" s="485"/>
      <c r="F164" s="485"/>
      <c r="G164" s="485"/>
      <c r="H164" s="485"/>
      <c r="I164" s="485"/>
    </row>
    <row r="165" spans="4:9" x14ac:dyDescent="0.25">
      <c r="D165" s="486"/>
      <c r="E165" s="486"/>
      <c r="F165" s="486"/>
      <c r="G165" s="486"/>
      <c r="H165" s="486"/>
      <c r="I165" s="486"/>
    </row>
    <row r="166" spans="4:9" x14ac:dyDescent="0.25">
      <c r="D166" s="474"/>
      <c r="E166" s="474"/>
      <c r="F166" s="474"/>
      <c r="G166" s="474"/>
      <c r="H166" s="474"/>
      <c r="I166" s="474"/>
    </row>
    <row r="167" spans="4:9" x14ac:dyDescent="0.25">
      <c r="D167" s="474"/>
      <c r="E167" s="474"/>
      <c r="F167" s="474"/>
      <c r="G167" s="474"/>
      <c r="H167" s="474"/>
      <c r="I167" s="474"/>
    </row>
    <row r="168" spans="4:9" x14ac:dyDescent="0.25">
      <c r="D168" s="474"/>
      <c r="E168" s="474"/>
      <c r="F168" s="474"/>
      <c r="G168" s="474"/>
      <c r="H168" s="474"/>
      <c r="I168" s="474"/>
    </row>
    <row r="169" spans="4:9" x14ac:dyDescent="0.25">
      <c r="D169" s="474"/>
      <c r="E169" s="474"/>
      <c r="F169" s="474"/>
      <c r="G169" s="474"/>
      <c r="H169" s="474"/>
      <c r="I169" s="474"/>
    </row>
    <row r="170" spans="4:9" x14ac:dyDescent="0.25">
      <c r="D170" s="474"/>
      <c r="E170" s="474"/>
      <c r="F170" s="474"/>
      <c r="G170" s="474"/>
      <c r="H170" s="474"/>
      <c r="I170" s="474"/>
    </row>
    <row r="171" spans="4:9" x14ac:dyDescent="0.25">
      <c r="D171" s="474"/>
      <c r="E171" s="474"/>
      <c r="F171" s="474"/>
      <c r="G171" s="474"/>
      <c r="H171" s="474"/>
      <c r="I171" s="474"/>
    </row>
    <row r="172" spans="4:9" x14ac:dyDescent="0.25">
      <c r="D172" s="474"/>
      <c r="E172" s="474"/>
      <c r="F172" s="474"/>
      <c r="G172" s="474"/>
      <c r="H172" s="474"/>
      <c r="I172" s="474"/>
    </row>
    <row r="173" spans="4:9" x14ac:dyDescent="0.25">
      <c r="D173" s="474"/>
      <c r="E173" s="474"/>
      <c r="F173" s="474"/>
      <c r="G173" s="474"/>
      <c r="H173" s="474"/>
      <c r="I173" s="474"/>
    </row>
    <row r="174" spans="4:9" ht="6" customHeight="1" x14ac:dyDescent="0.25">
      <c r="D174" s="474"/>
      <c r="E174" s="474"/>
      <c r="F174" s="474"/>
      <c r="G174" s="474"/>
      <c r="H174" s="474"/>
      <c r="I174" s="474"/>
    </row>
    <row r="175" spans="4:9" ht="7.5" customHeight="1" x14ac:dyDescent="0.25">
      <c r="D175" s="487"/>
      <c r="E175" s="487"/>
      <c r="F175" s="487"/>
      <c r="G175" s="487"/>
      <c r="H175" s="487"/>
      <c r="I175" s="487"/>
    </row>
    <row r="176" spans="4:9" ht="15.75" x14ac:dyDescent="0.25">
      <c r="D176" s="488"/>
      <c r="E176" s="489"/>
      <c r="F176" s="489"/>
      <c r="G176" s="489"/>
      <c r="H176" s="489"/>
      <c r="I176" s="489"/>
    </row>
    <row r="177" spans="4:9" x14ac:dyDescent="0.25">
      <c r="D177" s="485"/>
      <c r="E177" s="485"/>
      <c r="F177" s="485"/>
      <c r="G177" s="485"/>
      <c r="H177" s="485"/>
      <c r="I177" s="485"/>
    </row>
    <row r="178" spans="4:9" x14ac:dyDescent="0.25">
      <c r="D178" s="485"/>
      <c r="E178" s="485"/>
      <c r="F178" s="485"/>
      <c r="G178" s="485"/>
      <c r="H178" s="485"/>
      <c r="I178" s="485"/>
    </row>
    <row r="179" spans="4:9" x14ac:dyDescent="0.25">
      <c r="D179" s="486"/>
      <c r="E179" s="485"/>
      <c r="F179" s="485"/>
      <c r="G179" s="485"/>
      <c r="H179" s="485"/>
      <c r="I179" s="485"/>
    </row>
    <row r="180" spans="4:9" x14ac:dyDescent="0.25">
      <c r="D180" s="486"/>
      <c r="E180" s="486"/>
      <c r="F180" s="486"/>
      <c r="G180" s="486"/>
      <c r="H180" s="486"/>
      <c r="I180" s="486"/>
    </row>
    <row r="181" spans="4:9" x14ac:dyDescent="0.25">
      <c r="D181" s="484"/>
      <c r="E181" s="484"/>
      <c r="F181" s="484"/>
      <c r="G181" s="484"/>
      <c r="H181" s="484"/>
      <c r="I181" s="484"/>
    </row>
    <row r="182" spans="4:9" x14ac:dyDescent="0.25">
      <c r="D182" s="485"/>
      <c r="E182" s="485"/>
      <c r="F182" s="485"/>
      <c r="G182" s="485"/>
      <c r="H182" s="485"/>
      <c r="I182" s="485"/>
    </row>
    <row r="183" spans="4:9" x14ac:dyDescent="0.25">
      <c r="D183" s="484"/>
      <c r="E183" s="484"/>
      <c r="F183" s="484"/>
      <c r="G183" s="484"/>
      <c r="H183" s="484"/>
      <c r="I183" s="484"/>
    </row>
    <row r="184" spans="4:9" x14ac:dyDescent="0.25">
      <c r="D184" s="485"/>
      <c r="E184" s="485"/>
      <c r="F184" s="485"/>
      <c r="G184" s="485"/>
      <c r="H184" s="485"/>
      <c r="I184" s="485"/>
    </row>
    <row r="185" spans="4:9" x14ac:dyDescent="0.25">
      <c r="D185" s="485"/>
      <c r="E185" s="485"/>
      <c r="F185" s="485"/>
      <c r="G185" s="485"/>
      <c r="H185" s="485"/>
      <c r="I185" s="485"/>
    </row>
    <row r="186" spans="4:9" x14ac:dyDescent="0.25">
      <c r="D186" s="474"/>
      <c r="E186" s="474"/>
      <c r="F186" s="474"/>
      <c r="G186" s="474"/>
      <c r="H186" s="474"/>
      <c r="I186" s="474"/>
    </row>
    <row r="187" spans="4:9" x14ac:dyDescent="0.25">
      <c r="D187" s="484"/>
      <c r="E187" s="484"/>
      <c r="F187" s="484"/>
      <c r="G187" s="484"/>
      <c r="H187" s="484"/>
      <c r="I187" s="484"/>
    </row>
    <row r="188" spans="4:9" x14ac:dyDescent="0.25">
      <c r="D188" s="474"/>
      <c r="E188" s="474"/>
      <c r="F188" s="474"/>
      <c r="G188" s="474"/>
      <c r="H188" s="474"/>
      <c r="I188" s="474"/>
    </row>
    <row r="189" spans="4:9" x14ac:dyDescent="0.25">
      <c r="D189" s="474"/>
      <c r="E189" s="474"/>
      <c r="F189" s="474"/>
      <c r="G189" s="474"/>
      <c r="H189" s="474"/>
      <c r="I189" s="474"/>
    </row>
    <row r="190" spans="4:9" x14ac:dyDescent="0.25">
      <c r="D190" s="474"/>
      <c r="E190" s="474"/>
      <c r="F190" s="474"/>
      <c r="G190" s="474"/>
      <c r="H190" s="474"/>
      <c r="I190" s="474"/>
    </row>
    <row r="191" spans="4:9" x14ac:dyDescent="0.25">
      <c r="D191" s="484"/>
      <c r="E191" s="484"/>
      <c r="F191" s="484"/>
      <c r="G191" s="484"/>
      <c r="H191" s="484"/>
      <c r="I191" s="484"/>
    </row>
    <row r="192" spans="4:9" x14ac:dyDescent="0.25">
      <c r="D192" s="474"/>
      <c r="E192" s="474"/>
      <c r="F192" s="474"/>
      <c r="G192" s="474"/>
      <c r="H192" s="474"/>
      <c r="I192" s="474"/>
    </row>
    <row r="193" spans="4:9" x14ac:dyDescent="0.25">
      <c r="D193" s="474"/>
      <c r="E193" s="474"/>
      <c r="F193" s="474"/>
      <c r="G193" s="474"/>
      <c r="H193" s="474"/>
      <c r="I193" s="474"/>
    </row>
    <row r="194" spans="4:9" x14ac:dyDescent="0.25">
      <c r="D194" s="484"/>
      <c r="E194" s="484"/>
      <c r="F194" s="484"/>
      <c r="G194" s="484"/>
      <c r="H194" s="484"/>
      <c r="I194" s="484"/>
    </row>
    <row r="195" spans="4:9" x14ac:dyDescent="0.25">
      <c r="D195" s="486"/>
      <c r="E195" s="486"/>
      <c r="F195" s="486"/>
      <c r="G195" s="486"/>
      <c r="H195" s="486"/>
      <c r="I195" s="486"/>
    </row>
    <row r="196" spans="4:9" x14ac:dyDescent="0.25">
      <c r="D196" s="474"/>
      <c r="E196" s="474"/>
      <c r="F196" s="474"/>
      <c r="G196" s="474"/>
      <c r="H196" s="474"/>
      <c r="I196" s="474"/>
    </row>
    <row r="197" spans="4:9" x14ac:dyDescent="0.25">
      <c r="D197" s="474"/>
      <c r="E197" s="474"/>
      <c r="F197" s="474"/>
      <c r="G197" s="474"/>
      <c r="H197" s="474"/>
      <c r="I197" s="474"/>
    </row>
    <row r="198" spans="4:9" x14ac:dyDescent="0.25">
      <c r="D198" s="484"/>
      <c r="E198" s="484"/>
      <c r="F198" s="484"/>
      <c r="G198" s="484"/>
      <c r="H198" s="484"/>
      <c r="I198" s="484"/>
    </row>
    <row r="199" spans="4:9" x14ac:dyDescent="0.25">
      <c r="D199" s="474"/>
      <c r="E199" s="474"/>
      <c r="F199" s="474"/>
      <c r="G199" s="474"/>
      <c r="H199" s="474"/>
      <c r="I199" s="474"/>
    </row>
    <row r="200" spans="4:9" x14ac:dyDescent="0.25">
      <c r="D200" s="474"/>
      <c r="E200" s="474"/>
      <c r="F200" s="474"/>
      <c r="G200" s="474"/>
      <c r="H200" s="474"/>
      <c r="I200" s="474"/>
    </row>
    <row r="201" spans="4:9" x14ac:dyDescent="0.25">
      <c r="D201" s="474"/>
      <c r="E201" s="474"/>
      <c r="F201" s="474"/>
      <c r="G201" s="474"/>
      <c r="H201" s="474"/>
      <c r="I201" s="474"/>
    </row>
    <row r="202" spans="4:9" x14ac:dyDescent="0.25">
      <c r="D202" s="474"/>
      <c r="E202" s="474"/>
      <c r="F202" s="474"/>
      <c r="G202" s="474"/>
      <c r="H202" s="474"/>
      <c r="I202" s="474"/>
    </row>
    <row r="203" spans="4:9" x14ac:dyDescent="0.25">
      <c r="D203" s="474"/>
      <c r="E203" s="474"/>
      <c r="F203" s="474"/>
      <c r="G203" s="474"/>
      <c r="H203" s="474"/>
      <c r="I203" s="474"/>
    </row>
    <row r="204" spans="4:9" x14ac:dyDescent="0.25">
      <c r="D204" s="474"/>
      <c r="E204" s="474"/>
      <c r="F204" s="474"/>
      <c r="G204" s="474"/>
      <c r="H204" s="474"/>
      <c r="I204" s="474"/>
    </row>
    <row r="205" spans="4:9" x14ac:dyDescent="0.25">
      <c r="D205" s="474"/>
      <c r="E205" s="474"/>
      <c r="F205" s="474"/>
      <c r="G205" s="474"/>
      <c r="H205" s="474"/>
      <c r="I205" s="474"/>
    </row>
    <row r="206" spans="4:9" x14ac:dyDescent="0.25">
      <c r="D206" s="474"/>
      <c r="E206" s="474"/>
      <c r="F206" s="474"/>
      <c r="G206" s="474"/>
      <c r="H206" s="474"/>
      <c r="I206" s="474"/>
    </row>
    <row r="207" spans="4:9" x14ac:dyDescent="0.25">
      <c r="D207" s="474"/>
      <c r="E207" s="474"/>
      <c r="F207" s="474"/>
      <c r="G207" s="474"/>
      <c r="H207" s="474"/>
      <c r="I207" s="474"/>
    </row>
    <row r="208" spans="4:9" x14ac:dyDescent="0.25">
      <c r="D208" s="474"/>
      <c r="E208" s="474"/>
      <c r="F208" s="474"/>
      <c r="G208" s="474"/>
      <c r="H208" s="474"/>
      <c r="I208" s="474"/>
    </row>
    <row r="209" spans="4:9" x14ac:dyDescent="0.25">
      <c r="D209" s="474"/>
      <c r="E209" s="474"/>
      <c r="F209" s="474"/>
      <c r="G209" s="474"/>
      <c r="H209" s="474"/>
      <c r="I209" s="474"/>
    </row>
    <row r="210" spans="4:9" x14ac:dyDescent="0.25">
      <c r="D210" s="484"/>
      <c r="E210" s="484"/>
      <c r="F210" s="484"/>
      <c r="G210" s="484"/>
      <c r="H210" s="484"/>
      <c r="I210" s="484"/>
    </row>
    <row r="211" spans="4:9" x14ac:dyDescent="0.25">
      <c r="D211" s="484"/>
      <c r="E211" s="484"/>
      <c r="F211" s="484"/>
      <c r="G211" s="484"/>
      <c r="H211" s="484"/>
      <c r="I211" s="484"/>
    </row>
    <row r="212" spans="4:9" x14ac:dyDescent="0.25">
      <c r="D212" s="484"/>
      <c r="E212" s="484"/>
      <c r="F212" s="484"/>
      <c r="G212" s="484"/>
      <c r="H212" s="484"/>
      <c r="I212" s="484"/>
    </row>
    <row r="213" spans="4:9" x14ac:dyDescent="0.25">
      <c r="D213" s="474"/>
      <c r="E213" s="474"/>
      <c r="F213" s="474"/>
      <c r="G213" s="474"/>
      <c r="H213" s="474"/>
      <c r="I213" s="474"/>
    </row>
    <row r="214" spans="4:9" x14ac:dyDescent="0.25">
      <c r="D214" s="485"/>
      <c r="E214" s="485"/>
      <c r="F214" s="485"/>
      <c r="G214" s="485"/>
      <c r="H214" s="485"/>
      <c r="I214" s="485"/>
    </row>
    <row r="215" spans="4:9" x14ac:dyDescent="0.25">
      <c r="D215" s="485"/>
      <c r="E215" s="485"/>
      <c r="F215" s="485"/>
      <c r="G215" s="485"/>
      <c r="H215" s="485"/>
      <c r="I215" s="485"/>
    </row>
    <row r="216" spans="4:9" x14ac:dyDescent="0.25">
      <c r="D216" s="486"/>
      <c r="E216" s="485"/>
      <c r="F216" s="485"/>
      <c r="G216" s="485"/>
      <c r="H216" s="485"/>
      <c r="I216" s="485"/>
    </row>
    <row r="217" spans="4:9" x14ac:dyDescent="0.25">
      <c r="D217" s="486"/>
      <c r="E217" s="486"/>
      <c r="F217" s="486"/>
      <c r="G217" s="486"/>
      <c r="H217" s="486"/>
      <c r="I217" s="486"/>
    </row>
    <row r="218" spans="4:9" x14ac:dyDescent="0.25">
      <c r="D218" s="484"/>
      <c r="E218" s="484"/>
      <c r="F218" s="484"/>
      <c r="G218" s="484"/>
      <c r="H218" s="484"/>
      <c r="I218" s="484"/>
    </row>
    <row r="219" spans="4:9" x14ac:dyDescent="0.25">
      <c r="D219" s="485"/>
      <c r="E219" s="485"/>
      <c r="F219" s="485"/>
      <c r="G219" s="485"/>
      <c r="H219" s="485"/>
      <c r="I219" s="485"/>
    </row>
    <row r="220" spans="4:9" x14ac:dyDescent="0.25">
      <c r="D220" s="484"/>
      <c r="E220" s="484"/>
      <c r="F220" s="484"/>
      <c r="G220" s="484"/>
      <c r="H220" s="484"/>
      <c r="I220" s="484"/>
    </row>
    <row r="221" spans="4:9" x14ac:dyDescent="0.25">
      <c r="D221" s="485"/>
      <c r="E221" s="485"/>
      <c r="F221" s="485"/>
      <c r="G221" s="485"/>
      <c r="H221" s="485"/>
      <c r="I221" s="485"/>
    </row>
    <row r="222" spans="4:9" x14ac:dyDescent="0.25">
      <c r="D222" s="485"/>
      <c r="E222" s="485"/>
      <c r="F222" s="485"/>
      <c r="G222" s="485"/>
      <c r="H222" s="485"/>
      <c r="I222" s="485"/>
    </row>
    <row r="223" spans="4:9" x14ac:dyDescent="0.25">
      <c r="D223" s="474"/>
      <c r="E223" s="474"/>
      <c r="F223" s="474"/>
      <c r="G223" s="474"/>
      <c r="H223" s="474"/>
      <c r="I223" s="474"/>
    </row>
    <row r="224" spans="4:9" x14ac:dyDescent="0.25">
      <c r="D224" s="484"/>
      <c r="E224" s="484"/>
      <c r="F224" s="484"/>
      <c r="G224" s="484"/>
      <c r="H224" s="484"/>
      <c r="I224" s="484"/>
    </row>
    <row r="225" spans="4:9" x14ac:dyDescent="0.25">
      <c r="D225" s="474"/>
      <c r="E225" s="474"/>
      <c r="F225" s="474"/>
      <c r="G225" s="474"/>
      <c r="H225" s="474"/>
      <c r="I225" s="474"/>
    </row>
    <row r="226" spans="4:9" x14ac:dyDescent="0.25">
      <c r="D226" s="474"/>
      <c r="E226" s="474"/>
      <c r="F226" s="474"/>
      <c r="G226" s="474"/>
      <c r="H226" s="474"/>
      <c r="I226" s="474"/>
    </row>
    <row r="227" spans="4:9" x14ac:dyDescent="0.25">
      <c r="D227" s="484"/>
      <c r="E227" s="484"/>
      <c r="F227" s="484"/>
      <c r="G227" s="484"/>
      <c r="H227" s="484"/>
      <c r="I227" s="484"/>
    </row>
    <row r="228" spans="4:9" x14ac:dyDescent="0.25">
      <c r="D228" s="474"/>
      <c r="E228" s="474"/>
      <c r="F228" s="474"/>
      <c r="G228" s="474"/>
      <c r="H228" s="474"/>
      <c r="I228" s="474"/>
    </row>
    <row r="229" spans="4:9" x14ac:dyDescent="0.25">
      <c r="D229" s="474"/>
      <c r="E229" s="474"/>
      <c r="F229" s="474"/>
      <c r="G229" s="474"/>
      <c r="H229" s="474"/>
      <c r="I229" s="474"/>
    </row>
    <row r="230" spans="4:9" x14ac:dyDescent="0.25">
      <c r="D230" s="474"/>
      <c r="E230" s="474"/>
      <c r="F230" s="474"/>
      <c r="G230" s="474"/>
      <c r="H230" s="474"/>
      <c r="I230" s="474"/>
    </row>
    <row r="231" spans="4:9" x14ac:dyDescent="0.25">
      <c r="D231" s="474"/>
      <c r="E231" s="474"/>
      <c r="F231" s="474"/>
      <c r="G231" s="474"/>
      <c r="H231" s="474"/>
      <c r="I231" s="474"/>
    </row>
    <row r="232" spans="4:9" x14ac:dyDescent="0.25">
      <c r="D232" s="474"/>
      <c r="E232" s="474"/>
      <c r="F232" s="474"/>
      <c r="G232" s="474"/>
      <c r="H232" s="474"/>
      <c r="I232" s="474"/>
    </row>
    <row r="233" spans="4:9" x14ac:dyDescent="0.25">
      <c r="D233" s="474"/>
      <c r="E233" s="474"/>
      <c r="F233" s="474"/>
      <c r="G233" s="474"/>
      <c r="H233" s="474"/>
      <c r="I233" s="474"/>
    </row>
    <row r="234" spans="4:9" x14ac:dyDescent="0.25">
      <c r="D234" s="474"/>
      <c r="E234" s="474"/>
      <c r="F234" s="474"/>
      <c r="G234" s="474"/>
      <c r="H234" s="474"/>
      <c r="I234" s="474"/>
    </row>
    <row r="235" spans="4:9" x14ac:dyDescent="0.25">
      <c r="D235" s="474"/>
      <c r="E235" s="474"/>
      <c r="F235" s="474"/>
      <c r="G235" s="474"/>
      <c r="H235" s="474"/>
      <c r="I235" s="474"/>
    </row>
    <row r="236" spans="4:9" x14ac:dyDescent="0.25">
      <c r="D236" s="474"/>
      <c r="E236" s="474"/>
      <c r="F236" s="474"/>
      <c r="G236" s="474"/>
      <c r="H236" s="474"/>
      <c r="I236" s="474"/>
    </row>
    <row r="237" spans="4:9" x14ac:dyDescent="0.25">
      <c r="D237" s="474"/>
      <c r="E237" s="474"/>
      <c r="F237" s="474"/>
      <c r="G237" s="474"/>
      <c r="H237" s="474"/>
      <c r="I237" s="474"/>
    </row>
    <row r="238" spans="4:9" ht="6" customHeight="1" x14ac:dyDescent="0.25">
      <c r="D238" s="474"/>
      <c r="E238" s="474"/>
      <c r="F238" s="474"/>
      <c r="G238" s="474"/>
      <c r="H238" s="474"/>
      <c r="I238" s="474"/>
    </row>
    <row r="239" spans="4:9" ht="6" customHeight="1" x14ac:dyDescent="0.25">
      <c r="D239" s="487"/>
      <c r="E239" s="487"/>
      <c r="F239" s="487"/>
      <c r="G239" s="487"/>
      <c r="H239" s="487"/>
      <c r="I239" s="487"/>
    </row>
    <row r="240" spans="4:9" ht="15.75" x14ac:dyDescent="0.25">
      <c r="D240" s="488"/>
      <c r="E240" s="489"/>
      <c r="F240" s="489"/>
      <c r="G240" s="489"/>
      <c r="H240" s="489"/>
      <c r="I240" s="489"/>
    </row>
    <row r="241" spans="4:9" x14ac:dyDescent="0.25">
      <c r="D241" s="485"/>
      <c r="E241" s="485"/>
      <c r="F241" s="485"/>
      <c r="G241" s="485"/>
      <c r="H241" s="485"/>
      <c r="I241" s="485"/>
    </row>
    <row r="242" spans="4:9" x14ac:dyDescent="0.25">
      <c r="D242" s="485"/>
      <c r="E242" s="485"/>
      <c r="F242" s="485"/>
      <c r="G242" s="485"/>
      <c r="H242" s="485"/>
      <c r="I242" s="485"/>
    </row>
    <row r="243" spans="4:9" x14ac:dyDescent="0.25">
      <c r="D243" s="486"/>
      <c r="E243" s="485"/>
      <c r="F243" s="485"/>
      <c r="G243" s="485"/>
      <c r="H243" s="485"/>
      <c r="I243" s="485"/>
    </row>
    <row r="244" spans="4:9" x14ac:dyDescent="0.25">
      <c r="D244" s="486"/>
      <c r="E244" s="486"/>
      <c r="F244" s="486"/>
      <c r="G244" s="486"/>
      <c r="H244" s="486"/>
      <c r="I244" s="486"/>
    </row>
    <row r="245" spans="4:9" x14ac:dyDescent="0.25">
      <c r="D245" s="484"/>
      <c r="E245" s="484"/>
      <c r="F245" s="484"/>
      <c r="G245" s="484"/>
      <c r="H245" s="484"/>
      <c r="I245" s="484"/>
    </row>
    <row r="246" spans="4:9" x14ac:dyDescent="0.25">
      <c r="D246" s="485"/>
      <c r="E246" s="485"/>
      <c r="F246" s="485"/>
      <c r="G246" s="485"/>
      <c r="H246" s="485"/>
      <c r="I246" s="485"/>
    </row>
    <row r="247" spans="4:9" x14ac:dyDescent="0.25">
      <c r="D247" s="485"/>
      <c r="E247" s="485"/>
      <c r="F247" s="485"/>
      <c r="G247" s="485"/>
      <c r="H247" s="485"/>
      <c r="I247" s="485"/>
    </row>
    <row r="248" spans="4:9" x14ac:dyDescent="0.25">
      <c r="D248" s="484"/>
      <c r="E248" s="484"/>
      <c r="F248" s="484"/>
      <c r="G248" s="484"/>
      <c r="H248" s="484"/>
      <c r="I248" s="484"/>
    </row>
    <row r="249" spans="4:9" x14ac:dyDescent="0.25">
      <c r="D249" s="485"/>
      <c r="E249" s="485"/>
      <c r="F249" s="485"/>
      <c r="G249" s="485"/>
      <c r="H249" s="485"/>
      <c r="I249" s="485"/>
    </row>
    <row r="250" spans="4:9" x14ac:dyDescent="0.25">
      <c r="D250" s="485"/>
      <c r="E250" s="485"/>
      <c r="F250" s="485"/>
      <c r="G250" s="485"/>
      <c r="H250" s="485"/>
      <c r="I250" s="485"/>
    </row>
    <row r="251" spans="4:9" x14ac:dyDescent="0.25">
      <c r="D251" s="474"/>
      <c r="E251" s="474"/>
      <c r="F251" s="474"/>
      <c r="G251" s="474"/>
      <c r="H251" s="474"/>
      <c r="I251" s="474"/>
    </row>
    <row r="252" spans="4:9" x14ac:dyDescent="0.25">
      <c r="D252" s="484"/>
      <c r="E252" s="484"/>
      <c r="F252" s="484"/>
      <c r="G252" s="484"/>
      <c r="H252" s="484"/>
      <c r="I252" s="484"/>
    </row>
    <row r="253" spans="4:9" x14ac:dyDescent="0.25">
      <c r="D253" s="474"/>
      <c r="E253" s="474"/>
      <c r="F253" s="474"/>
      <c r="G253" s="474"/>
      <c r="H253" s="474"/>
      <c r="I253" s="474"/>
    </row>
    <row r="254" spans="4:9" x14ac:dyDescent="0.25">
      <c r="D254" s="474"/>
      <c r="E254" s="474"/>
      <c r="F254" s="474"/>
      <c r="G254" s="474"/>
      <c r="H254" s="474"/>
      <c r="I254" s="474"/>
    </row>
    <row r="255" spans="4:9" x14ac:dyDescent="0.25">
      <c r="D255" s="474"/>
      <c r="E255" s="474"/>
      <c r="F255" s="474"/>
      <c r="G255" s="474"/>
      <c r="H255" s="474"/>
      <c r="I255" s="474"/>
    </row>
    <row r="256" spans="4:9" x14ac:dyDescent="0.25">
      <c r="D256" s="484"/>
      <c r="E256" s="484"/>
      <c r="F256" s="484"/>
      <c r="G256" s="484"/>
      <c r="H256" s="484"/>
      <c r="I256" s="484"/>
    </row>
    <row r="257" spans="4:9" x14ac:dyDescent="0.25">
      <c r="D257" s="474"/>
      <c r="E257" s="474"/>
      <c r="F257" s="474"/>
      <c r="G257" s="474"/>
      <c r="H257" s="474"/>
      <c r="I257" s="474"/>
    </row>
    <row r="258" spans="4:9" x14ac:dyDescent="0.25">
      <c r="D258" s="474"/>
      <c r="E258" s="474"/>
      <c r="F258" s="474"/>
      <c r="G258" s="474"/>
      <c r="H258" s="474"/>
      <c r="I258" s="474"/>
    </row>
    <row r="259" spans="4:9" x14ac:dyDescent="0.25">
      <c r="D259" s="474"/>
      <c r="E259" s="474"/>
      <c r="F259" s="474"/>
      <c r="G259" s="474"/>
      <c r="H259" s="474"/>
      <c r="I259" s="474"/>
    </row>
    <row r="260" spans="4:9" x14ac:dyDescent="0.25">
      <c r="D260" s="474"/>
      <c r="E260" s="474"/>
      <c r="F260" s="474"/>
      <c r="G260" s="474"/>
      <c r="H260" s="474"/>
      <c r="I260" s="474"/>
    </row>
    <row r="261" spans="4:9" x14ac:dyDescent="0.25">
      <c r="D261" s="474"/>
      <c r="E261" s="474"/>
      <c r="F261" s="474"/>
      <c r="G261" s="474"/>
      <c r="H261" s="474"/>
      <c r="I261" s="474"/>
    </row>
    <row r="262" spans="4:9" x14ac:dyDescent="0.25">
      <c r="D262" s="484"/>
      <c r="E262" s="484"/>
      <c r="F262" s="484"/>
      <c r="G262" s="484"/>
      <c r="H262" s="484"/>
      <c r="I262" s="484"/>
    </row>
    <row r="263" spans="4:9" x14ac:dyDescent="0.25">
      <c r="D263" s="486"/>
      <c r="E263" s="486"/>
      <c r="F263" s="486"/>
      <c r="G263" s="486"/>
      <c r="H263" s="486"/>
      <c r="I263" s="486"/>
    </row>
    <row r="264" spans="4:9" x14ac:dyDescent="0.25">
      <c r="D264" s="474"/>
      <c r="E264" s="474"/>
      <c r="F264" s="474"/>
      <c r="G264" s="474"/>
      <c r="H264" s="474"/>
      <c r="I264" s="474"/>
    </row>
    <row r="265" spans="4:9" x14ac:dyDescent="0.25">
      <c r="D265" s="474"/>
      <c r="E265" s="474"/>
      <c r="F265" s="474"/>
      <c r="G265" s="474"/>
      <c r="H265" s="474"/>
      <c r="I265" s="474"/>
    </row>
    <row r="266" spans="4:9" x14ac:dyDescent="0.25">
      <c r="D266" s="484"/>
      <c r="E266" s="484"/>
      <c r="F266" s="484"/>
      <c r="G266" s="484"/>
      <c r="H266" s="484"/>
      <c r="I266" s="484"/>
    </row>
    <row r="267" spans="4:9" x14ac:dyDescent="0.25">
      <c r="D267" s="474"/>
      <c r="E267" s="474"/>
      <c r="F267" s="474"/>
      <c r="G267" s="474"/>
      <c r="H267" s="474"/>
      <c r="I267" s="474"/>
    </row>
    <row r="268" spans="4:9" x14ac:dyDescent="0.25">
      <c r="D268" s="474"/>
      <c r="E268" s="474"/>
      <c r="F268" s="474"/>
      <c r="G268" s="474"/>
      <c r="H268" s="474"/>
      <c r="I268" s="474"/>
    </row>
    <row r="269" spans="4:9" x14ac:dyDescent="0.25">
      <c r="D269" s="474"/>
      <c r="E269" s="474"/>
      <c r="F269" s="474"/>
      <c r="G269" s="474"/>
      <c r="H269" s="474"/>
      <c r="I269" s="474"/>
    </row>
    <row r="270" spans="4:9" x14ac:dyDescent="0.25">
      <c r="D270" s="474"/>
      <c r="E270" s="474"/>
      <c r="F270" s="474"/>
      <c r="G270" s="474"/>
      <c r="H270" s="474"/>
      <c r="I270" s="474"/>
    </row>
    <row r="271" spans="4:9" x14ac:dyDescent="0.25">
      <c r="D271" s="474"/>
      <c r="E271" s="474"/>
      <c r="F271" s="474"/>
      <c r="G271" s="474"/>
      <c r="H271" s="474"/>
      <c r="I271" s="474"/>
    </row>
    <row r="272" spans="4:9" x14ac:dyDescent="0.25">
      <c r="D272" s="474"/>
      <c r="E272" s="474"/>
      <c r="F272" s="474"/>
      <c r="G272" s="474"/>
      <c r="H272" s="474"/>
      <c r="I272" s="474"/>
    </row>
    <row r="273" spans="4:9" x14ac:dyDescent="0.25">
      <c r="D273" s="474"/>
      <c r="E273" s="474"/>
      <c r="F273" s="474"/>
      <c r="G273" s="474"/>
      <c r="H273" s="474"/>
      <c r="I273" s="474"/>
    </row>
    <row r="274" spans="4:9" x14ac:dyDescent="0.25">
      <c r="D274" s="474"/>
      <c r="E274" s="474"/>
      <c r="F274" s="474"/>
      <c r="G274" s="474"/>
      <c r="H274" s="474"/>
      <c r="I274" s="474"/>
    </row>
    <row r="275" spans="4:9" x14ac:dyDescent="0.25">
      <c r="D275" s="474"/>
      <c r="E275" s="474"/>
      <c r="F275" s="474"/>
      <c r="G275" s="474"/>
      <c r="H275" s="474"/>
      <c r="I275" s="474"/>
    </row>
    <row r="276" spans="4:9" x14ac:dyDescent="0.25">
      <c r="D276" s="474"/>
      <c r="E276" s="474"/>
      <c r="F276" s="474"/>
      <c r="G276" s="474"/>
      <c r="H276" s="474"/>
      <c r="I276" s="474"/>
    </row>
    <row r="277" spans="4:9" x14ac:dyDescent="0.25">
      <c r="D277" s="474"/>
      <c r="E277" s="474"/>
      <c r="F277" s="474"/>
      <c r="G277" s="474"/>
      <c r="H277" s="474"/>
      <c r="I277" s="474"/>
    </row>
    <row r="278" spans="4:9" x14ac:dyDescent="0.25">
      <c r="D278" s="474"/>
      <c r="E278" s="474"/>
      <c r="F278" s="474"/>
      <c r="G278" s="474"/>
      <c r="H278" s="474"/>
      <c r="I278" s="474"/>
    </row>
    <row r="279" spans="4:9" x14ac:dyDescent="0.25">
      <c r="D279" s="484"/>
      <c r="E279" s="484"/>
      <c r="F279" s="484"/>
      <c r="G279" s="484"/>
      <c r="H279" s="484"/>
      <c r="I279" s="484"/>
    </row>
    <row r="280" spans="4:9" x14ac:dyDescent="0.25">
      <c r="D280" s="474"/>
      <c r="E280" s="474"/>
      <c r="F280" s="474"/>
      <c r="G280" s="474"/>
      <c r="H280" s="474"/>
      <c r="I280" s="474"/>
    </row>
    <row r="281" spans="4:9" x14ac:dyDescent="0.25">
      <c r="D281" s="474"/>
      <c r="E281" s="474"/>
      <c r="F281" s="474"/>
      <c r="G281" s="474"/>
      <c r="H281" s="474"/>
      <c r="I281" s="474"/>
    </row>
    <row r="282" spans="4:9" x14ac:dyDescent="0.25">
      <c r="D282" s="484"/>
      <c r="E282" s="484"/>
      <c r="F282" s="484"/>
      <c r="G282" s="484"/>
      <c r="H282" s="484"/>
      <c r="I282" s="484"/>
    </row>
    <row r="283" spans="4:9" x14ac:dyDescent="0.25">
      <c r="D283" s="474"/>
      <c r="E283" s="474"/>
      <c r="F283" s="474"/>
      <c r="G283" s="474"/>
      <c r="H283" s="474"/>
      <c r="I283" s="474"/>
    </row>
    <row r="284" spans="4:9" x14ac:dyDescent="0.25">
      <c r="D284" s="474"/>
      <c r="E284" s="474"/>
      <c r="F284" s="474"/>
      <c r="G284" s="474"/>
      <c r="H284" s="474"/>
      <c r="I284" s="474"/>
    </row>
    <row r="285" spans="4:9" x14ac:dyDescent="0.25">
      <c r="D285" s="474"/>
      <c r="E285" s="474"/>
      <c r="F285" s="474"/>
      <c r="G285" s="474"/>
      <c r="H285" s="474"/>
      <c r="I285" s="474"/>
    </row>
    <row r="286" spans="4:9" x14ac:dyDescent="0.25">
      <c r="D286" s="474"/>
      <c r="E286" s="474"/>
      <c r="F286" s="474"/>
      <c r="G286" s="474"/>
      <c r="H286" s="474"/>
      <c r="I286" s="474"/>
    </row>
    <row r="287" spans="4:9" x14ac:dyDescent="0.25">
      <c r="D287" s="474"/>
      <c r="E287" s="474"/>
      <c r="F287" s="474"/>
      <c r="G287" s="474"/>
      <c r="H287" s="474"/>
      <c r="I287" s="474"/>
    </row>
    <row r="288" spans="4:9" x14ac:dyDescent="0.25">
      <c r="D288" s="484"/>
      <c r="E288" s="484"/>
      <c r="F288" s="484"/>
      <c r="G288" s="484"/>
      <c r="H288" s="484"/>
      <c r="I288" s="484"/>
    </row>
    <row r="289" spans="4:9" x14ac:dyDescent="0.25">
      <c r="D289" s="474"/>
      <c r="E289" s="474"/>
      <c r="F289" s="474"/>
      <c r="G289" s="474"/>
      <c r="H289" s="474"/>
      <c r="I289" s="474"/>
    </row>
    <row r="290" spans="4:9" x14ac:dyDescent="0.25">
      <c r="D290" s="474"/>
      <c r="E290" s="474"/>
      <c r="F290" s="474"/>
      <c r="G290" s="474"/>
      <c r="H290" s="474"/>
      <c r="I290" s="474"/>
    </row>
    <row r="291" spans="4:9" x14ac:dyDescent="0.25">
      <c r="D291" s="485"/>
      <c r="E291" s="484"/>
      <c r="F291" s="484"/>
      <c r="G291" s="484"/>
      <c r="H291" s="484"/>
      <c r="I291" s="484"/>
    </row>
    <row r="292" spans="4:9" x14ac:dyDescent="0.25">
      <c r="D292" s="485"/>
      <c r="E292" s="484"/>
      <c r="F292" s="484"/>
      <c r="G292" s="484"/>
      <c r="H292" s="484"/>
      <c r="I292" s="484"/>
    </row>
    <row r="293" spans="4:9" x14ac:dyDescent="0.25">
      <c r="D293" s="485"/>
      <c r="E293" s="474"/>
      <c r="F293" s="474"/>
      <c r="G293" s="474"/>
      <c r="H293" s="474"/>
      <c r="I293" s="474"/>
    </row>
    <row r="294" spans="4:9" x14ac:dyDescent="0.25">
      <c r="D294" s="485"/>
      <c r="E294" s="485"/>
      <c r="F294" s="485"/>
      <c r="G294" s="485"/>
      <c r="H294" s="485"/>
      <c r="I294" s="485"/>
    </row>
    <row r="295" spans="4:9" x14ac:dyDescent="0.25">
      <c r="D295" s="485"/>
      <c r="E295" s="474"/>
      <c r="F295" s="474"/>
      <c r="G295" s="474"/>
      <c r="H295" s="474"/>
      <c r="I295" s="474"/>
    </row>
    <row r="296" spans="4:9" x14ac:dyDescent="0.25">
      <c r="D296" s="485"/>
      <c r="E296" s="474"/>
      <c r="F296" s="474"/>
      <c r="G296" s="474"/>
      <c r="H296" s="474"/>
      <c r="I296" s="474"/>
    </row>
    <row r="297" spans="4:9" x14ac:dyDescent="0.25">
      <c r="D297" s="485"/>
      <c r="E297" s="474"/>
      <c r="F297" s="474"/>
      <c r="G297" s="474"/>
      <c r="H297" s="474"/>
      <c r="I297" s="474"/>
    </row>
    <row r="298" spans="4:9" x14ac:dyDescent="0.25">
      <c r="D298" s="485"/>
      <c r="E298" s="484"/>
      <c r="F298" s="484"/>
      <c r="G298" s="484"/>
      <c r="H298" s="484"/>
      <c r="I298" s="484"/>
    </row>
    <row r="299" spans="4:9" x14ac:dyDescent="0.25">
      <c r="D299" s="485"/>
      <c r="E299" s="474"/>
      <c r="F299" s="474"/>
      <c r="G299" s="474"/>
      <c r="H299" s="474"/>
      <c r="I299" s="474"/>
    </row>
    <row r="300" spans="4:9" x14ac:dyDescent="0.25">
      <c r="D300" s="474"/>
      <c r="E300" s="474"/>
      <c r="F300" s="474"/>
      <c r="G300" s="474"/>
      <c r="H300" s="474"/>
      <c r="I300" s="474"/>
    </row>
    <row r="301" spans="4:9" x14ac:dyDescent="0.25">
      <c r="D301" s="210"/>
      <c r="E301" s="210"/>
      <c r="F301" s="210"/>
      <c r="G301" s="210"/>
      <c r="H301" s="210"/>
      <c r="I301" s="210"/>
    </row>
    <row r="302" spans="4:9" x14ac:dyDescent="0.25">
      <c r="D302" s="210"/>
      <c r="E302" s="210"/>
      <c r="F302" s="210"/>
      <c r="G302" s="210"/>
      <c r="H302" s="210"/>
      <c r="I302" s="210"/>
    </row>
    <row r="303" spans="4:9" x14ac:dyDescent="0.25">
      <c r="D303" s="210"/>
      <c r="E303" s="210"/>
      <c r="F303" s="210"/>
      <c r="G303" s="210"/>
      <c r="H303" s="210"/>
      <c r="I303" s="210"/>
    </row>
    <row r="304" spans="4:9" x14ac:dyDescent="0.25">
      <c r="D304" s="210"/>
      <c r="E304" s="210"/>
      <c r="F304" s="210"/>
      <c r="G304" s="210"/>
      <c r="H304" s="210"/>
      <c r="I304" s="210"/>
    </row>
    <row r="305" spans="4:9" x14ac:dyDescent="0.25">
      <c r="D305" s="210"/>
      <c r="E305" s="210"/>
      <c r="F305" s="210"/>
      <c r="G305" s="210"/>
      <c r="H305" s="210"/>
      <c r="I305" s="210"/>
    </row>
    <row r="306" spans="4:9" x14ac:dyDescent="0.25">
      <c r="D306" s="210"/>
      <c r="E306" s="210"/>
      <c r="F306" s="210"/>
      <c r="G306" s="210"/>
      <c r="H306" s="210"/>
      <c r="I306" s="210"/>
    </row>
    <row r="307" spans="4:9" x14ac:dyDescent="0.25">
      <c r="D307" s="210"/>
      <c r="E307" s="210"/>
      <c r="F307" s="210"/>
      <c r="G307" s="210"/>
      <c r="H307" s="210"/>
      <c r="I307" s="210"/>
    </row>
    <row r="308" spans="4:9" x14ac:dyDescent="0.25">
      <c r="D308" s="210"/>
      <c r="E308" s="210"/>
      <c r="F308" s="210"/>
      <c r="G308" s="210"/>
      <c r="H308" s="210"/>
      <c r="I308" s="210"/>
    </row>
    <row r="309" spans="4:9" x14ac:dyDescent="0.25">
      <c r="D309" s="210"/>
      <c r="E309" s="210"/>
      <c r="F309" s="210"/>
      <c r="G309" s="210"/>
      <c r="H309" s="210"/>
      <c r="I309" s="210"/>
    </row>
    <row r="310" spans="4:9" x14ac:dyDescent="0.25">
      <c r="D310" s="210"/>
      <c r="E310" s="210"/>
      <c r="F310" s="210"/>
      <c r="G310" s="210"/>
      <c r="H310" s="210"/>
      <c r="I310" s="210"/>
    </row>
    <row r="311" spans="4:9" x14ac:dyDescent="0.25">
      <c r="D311" s="210"/>
      <c r="E311" s="210"/>
      <c r="F311" s="210"/>
      <c r="G311" s="210"/>
      <c r="H311" s="210"/>
      <c r="I311" s="210"/>
    </row>
    <row r="312" spans="4:9" x14ac:dyDescent="0.25">
      <c r="D312" s="210"/>
      <c r="E312" s="210"/>
      <c r="F312" s="210"/>
      <c r="G312" s="210"/>
      <c r="H312" s="210"/>
      <c r="I312" s="210"/>
    </row>
    <row r="313" spans="4:9" x14ac:dyDescent="0.25">
      <c r="D313" s="210"/>
      <c r="E313" s="210"/>
      <c r="F313" s="210"/>
      <c r="G313" s="210"/>
      <c r="H313" s="210"/>
      <c r="I313" s="210"/>
    </row>
    <row r="314" spans="4:9" x14ac:dyDescent="0.25">
      <c r="D314" s="210"/>
      <c r="E314" s="210"/>
      <c r="F314" s="210"/>
      <c r="G314" s="210"/>
      <c r="H314" s="210"/>
      <c r="I314" s="210"/>
    </row>
    <row r="315" spans="4:9" x14ac:dyDescent="0.25">
      <c r="D315" s="210"/>
      <c r="E315" s="210"/>
      <c r="F315" s="210"/>
      <c r="G315" s="210"/>
      <c r="H315" s="210"/>
      <c r="I315" s="210"/>
    </row>
    <row r="316" spans="4:9" x14ac:dyDescent="0.25">
      <c r="D316" s="210"/>
      <c r="E316" s="210"/>
      <c r="F316" s="210"/>
      <c r="G316" s="210"/>
      <c r="H316" s="210"/>
      <c r="I316" s="210"/>
    </row>
    <row r="317" spans="4:9" x14ac:dyDescent="0.25">
      <c r="D317" s="210"/>
      <c r="E317" s="210"/>
      <c r="F317" s="210"/>
      <c r="G317" s="210"/>
      <c r="H317" s="210"/>
      <c r="I317" s="210"/>
    </row>
    <row r="318" spans="4:9" x14ac:dyDescent="0.25">
      <c r="D318" s="210"/>
      <c r="E318" s="210"/>
      <c r="F318" s="210"/>
      <c r="G318" s="210"/>
      <c r="H318" s="210"/>
      <c r="I318" s="210"/>
    </row>
    <row r="319" spans="4:9" x14ac:dyDescent="0.25">
      <c r="D319" s="210"/>
      <c r="E319" s="210"/>
      <c r="F319" s="210"/>
      <c r="G319" s="210"/>
      <c r="H319" s="210"/>
      <c r="I319" s="210"/>
    </row>
    <row r="320" spans="4:9" x14ac:dyDescent="0.25">
      <c r="D320" s="210"/>
      <c r="E320" s="210"/>
      <c r="F320" s="210"/>
      <c r="G320" s="210"/>
      <c r="H320" s="210"/>
      <c r="I320" s="210"/>
    </row>
    <row r="321" spans="4:9" x14ac:dyDescent="0.25">
      <c r="D321" s="210"/>
      <c r="E321" s="210"/>
      <c r="F321" s="210"/>
      <c r="G321" s="210"/>
      <c r="H321" s="210"/>
      <c r="I321" s="210"/>
    </row>
    <row r="322" spans="4:9" x14ac:dyDescent="0.25">
      <c r="D322" s="210"/>
      <c r="E322" s="210"/>
      <c r="F322" s="210"/>
      <c r="G322" s="210"/>
      <c r="H322" s="210"/>
      <c r="I322" s="210"/>
    </row>
    <row r="323" spans="4:9" x14ac:dyDescent="0.25">
      <c r="D323" s="210"/>
      <c r="E323" s="210"/>
      <c r="F323" s="210"/>
      <c r="G323" s="210"/>
      <c r="H323" s="210"/>
      <c r="I323" s="210"/>
    </row>
    <row r="324" spans="4:9" x14ac:dyDescent="0.25">
      <c r="D324" s="210"/>
      <c r="E324" s="210"/>
      <c r="F324" s="210"/>
      <c r="G324" s="210"/>
      <c r="H324" s="210"/>
      <c r="I324" s="210"/>
    </row>
    <row r="325" spans="4:9" x14ac:dyDescent="0.25">
      <c r="D325" s="210"/>
      <c r="E325" s="210"/>
      <c r="F325" s="210"/>
      <c r="G325" s="210"/>
      <c r="H325" s="210"/>
      <c r="I325" s="210"/>
    </row>
    <row r="326" spans="4:9" x14ac:dyDescent="0.25">
      <c r="D326" s="210"/>
      <c r="E326" s="210"/>
      <c r="F326" s="210"/>
      <c r="G326" s="210"/>
      <c r="H326" s="210"/>
      <c r="I326" s="210"/>
    </row>
    <row r="327" spans="4:9" x14ac:dyDescent="0.25">
      <c r="D327" s="210"/>
      <c r="E327" s="210"/>
      <c r="F327" s="210"/>
      <c r="G327" s="210"/>
      <c r="H327" s="210"/>
      <c r="I327" s="210"/>
    </row>
    <row r="328" spans="4:9" x14ac:dyDescent="0.25">
      <c r="D328" s="210"/>
      <c r="E328" s="210"/>
      <c r="F328" s="210"/>
      <c r="G328" s="210"/>
      <c r="H328" s="210"/>
      <c r="I328" s="210"/>
    </row>
    <row r="329" spans="4:9" x14ac:dyDescent="0.25">
      <c r="D329" s="210"/>
      <c r="E329" s="210"/>
      <c r="F329" s="210"/>
      <c r="G329" s="210"/>
      <c r="H329" s="210"/>
      <c r="I329" s="210"/>
    </row>
    <row r="330" spans="4:9" x14ac:dyDescent="0.25">
      <c r="D330" s="210"/>
      <c r="E330" s="210"/>
      <c r="F330" s="210"/>
      <c r="G330" s="210"/>
      <c r="H330" s="210"/>
      <c r="I330" s="210"/>
    </row>
    <row r="331" spans="4:9" x14ac:dyDescent="0.25">
      <c r="D331" s="125"/>
      <c r="E331" s="125"/>
      <c r="F331" s="125"/>
      <c r="G331" s="125"/>
      <c r="H331" s="125"/>
      <c r="I331" s="125"/>
    </row>
    <row r="332" spans="4:9" x14ac:dyDescent="0.25">
      <c r="D332" s="125"/>
      <c r="E332" s="125"/>
      <c r="F332" s="125"/>
      <c r="G332" s="125"/>
      <c r="H332" s="125"/>
      <c r="I332" s="125"/>
    </row>
    <row r="333" spans="4:9" x14ac:dyDescent="0.25">
      <c r="D333" s="125"/>
      <c r="E333" s="125"/>
      <c r="F333" s="125"/>
      <c r="G333" s="125"/>
      <c r="H333" s="125"/>
      <c r="I333" s="125"/>
    </row>
    <row r="334" spans="4:9" x14ac:dyDescent="0.25">
      <c r="D334" s="125"/>
      <c r="E334" s="125"/>
      <c r="F334" s="125"/>
      <c r="G334" s="125"/>
      <c r="H334" s="125"/>
      <c r="I334" s="125"/>
    </row>
    <row r="335" spans="4:9" x14ac:dyDescent="0.25">
      <c r="D335" s="125"/>
      <c r="E335" s="125"/>
      <c r="F335" s="125"/>
      <c r="G335" s="125"/>
      <c r="H335" s="125"/>
      <c r="I335" s="125"/>
    </row>
    <row r="336" spans="4:9" x14ac:dyDescent="0.25">
      <c r="D336" s="125"/>
      <c r="E336" s="125"/>
      <c r="F336" s="125"/>
      <c r="G336" s="125"/>
      <c r="H336" s="125"/>
      <c r="I336" s="125"/>
    </row>
    <row r="337" spans="4:9" x14ac:dyDescent="0.25">
      <c r="D337" s="125"/>
      <c r="E337" s="125"/>
      <c r="F337" s="125"/>
      <c r="G337" s="125"/>
      <c r="H337" s="125"/>
      <c r="I337" s="125"/>
    </row>
    <row r="338" spans="4:9" x14ac:dyDescent="0.25">
      <c r="D338" s="125"/>
      <c r="E338" s="125"/>
      <c r="F338" s="125"/>
      <c r="G338" s="125"/>
      <c r="H338" s="125"/>
      <c r="I338" s="125"/>
    </row>
    <row r="339" spans="4:9" x14ac:dyDescent="0.25">
      <c r="D339" s="125"/>
      <c r="E339" s="125"/>
      <c r="F339" s="125"/>
      <c r="G339" s="125"/>
      <c r="H339" s="125"/>
      <c r="I339" s="125"/>
    </row>
    <row r="340" spans="4:9" x14ac:dyDescent="0.25">
      <c r="D340" s="125"/>
      <c r="E340" s="125"/>
      <c r="F340" s="125"/>
      <c r="G340" s="125"/>
      <c r="H340" s="125"/>
      <c r="I340" s="125"/>
    </row>
    <row r="341" spans="4:9" x14ac:dyDescent="0.25">
      <c r="D341" s="125"/>
      <c r="E341" s="125"/>
      <c r="F341" s="125"/>
      <c r="G341" s="125"/>
      <c r="H341" s="125"/>
      <c r="I341" s="125"/>
    </row>
    <row r="342" spans="4:9" x14ac:dyDescent="0.25">
      <c r="D342" s="125"/>
      <c r="E342" s="125"/>
      <c r="F342" s="125"/>
      <c r="G342" s="125"/>
      <c r="H342" s="125"/>
      <c r="I342" s="125"/>
    </row>
    <row r="343" spans="4:9" x14ac:dyDescent="0.25">
      <c r="D343" s="125"/>
      <c r="E343" s="125"/>
      <c r="F343" s="125"/>
      <c r="G343" s="125"/>
      <c r="H343" s="125"/>
      <c r="I343" s="125"/>
    </row>
    <row r="344" spans="4:9" x14ac:dyDescent="0.25">
      <c r="D344" s="125"/>
      <c r="E344" s="125"/>
      <c r="F344" s="125"/>
      <c r="G344" s="125"/>
      <c r="H344" s="125"/>
      <c r="I344" s="125"/>
    </row>
    <row r="345" spans="4:9" x14ac:dyDescent="0.25">
      <c r="D345" s="125"/>
      <c r="E345" s="125"/>
      <c r="F345" s="125"/>
      <c r="G345" s="125"/>
      <c r="H345" s="125"/>
      <c r="I345" s="125"/>
    </row>
    <row r="346" spans="4:9" x14ac:dyDescent="0.25">
      <c r="D346" s="125"/>
      <c r="E346" s="125"/>
      <c r="F346" s="125"/>
      <c r="G346" s="125"/>
      <c r="H346" s="125"/>
      <c r="I346" s="125"/>
    </row>
    <row r="347" spans="4:9" x14ac:dyDescent="0.25">
      <c r="D347" s="125"/>
      <c r="E347" s="125"/>
      <c r="F347" s="125"/>
      <c r="G347" s="125"/>
      <c r="H347" s="125"/>
      <c r="I347" s="125"/>
    </row>
    <row r="348" spans="4:9" x14ac:dyDescent="0.25">
      <c r="D348" s="125"/>
      <c r="E348" s="125"/>
      <c r="F348" s="125"/>
      <c r="G348" s="125"/>
      <c r="H348" s="125"/>
      <c r="I348" s="125"/>
    </row>
    <row r="349" spans="4:9" x14ac:dyDescent="0.25">
      <c r="D349" s="125"/>
      <c r="E349" s="125"/>
      <c r="F349" s="125"/>
      <c r="G349" s="125"/>
      <c r="H349" s="125"/>
      <c r="I349" s="125"/>
    </row>
    <row r="350" spans="4:9" x14ac:dyDescent="0.25">
      <c r="D350" s="125"/>
      <c r="E350" s="125"/>
      <c r="F350" s="125"/>
      <c r="G350" s="125"/>
      <c r="H350" s="125"/>
      <c r="I350" s="125"/>
    </row>
    <row r="351" spans="4:9" x14ac:dyDescent="0.25">
      <c r="D351" s="125"/>
      <c r="E351" s="125"/>
      <c r="F351" s="125"/>
      <c r="G351" s="125"/>
      <c r="H351" s="125"/>
      <c r="I351" s="125"/>
    </row>
    <row r="352" spans="4:9" x14ac:dyDescent="0.25">
      <c r="D352" s="125"/>
      <c r="E352" s="125"/>
      <c r="F352" s="125"/>
      <c r="G352" s="125"/>
      <c r="H352" s="125"/>
      <c r="I352" s="125"/>
    </row>
    <row r="353" spans="4:9" x14ac:dyDescent="0.25">
      <c r="D353" s="125"/>
      <c r="E353" s="125"/>
      <c r="F353" s="125"/>
      <c r="G353" s="125"/>
      <c r="H353" s="125"/>
      <c r="I353" s="125"/>
    </row>
    <row r="354" spans="4:9" x14ac:dyDescent="0.25">
      <c r="D354" s="125"/>
      <c r="E354" s="125"/>
      <c r="F354" s="125"/>
      <c r="G354" s="125"/>
      <c r="H354" s="125"/>
      <c r="I354" s="125"/>
    </row>
    <row r="355" spans="4:9" x14ac:dyDescent="0.25">
      <c r="D355" s="125"/>
      <c r="E355" s="125"/>
      <c r="F355" s="125"/>
      <c r="G355" s="125"/>
      <c r="H355" s="125"/>
      <c r="I355" s="125"/>
    </row>
    <row r="356" spans="4:9" x14ac:dyDescent="0.25">
      <c r="D356" s="125"/>
      <c r="E356" s="125"/>
      <c r="F356" s="125"/>
      <c r="G356" s="125"/>
      <c r="H356" s="125"/>
      <c r="I356" s="125"/>
    </row>
    <row r="357" spans="4:9" x14ac:dyDescent="0.25">
      <c r="D357" s="125"/>
      <c r="E357" s="125"/>
      <c r="F357" s="125"/>
      <c r="G357" s="125"/>
      <c r="H357" s="125"/>
      <c r="I357" s="125"/>
    </row>
    <row r="358" spans="4:9" x14ac:dyDescent="0.25">
      <c r="D358" s="125"/>
      <c r="E358" s="125"/>
      <c r="F358" s="125"/>
      <c r="G358" s="125"/>
      <c r="H358" s="125"/>
      <c r="I358" s="125"/>
    </row>
    <row r="359" spans="4:9" x14ac:dyDescent="0.25">
      <c r="D359" s="125"/>
      <c r="E359" s="125"/>
      <c r="F359" s="125"/>
      <c r="G359" s="125"/>
      <c r="H359" s="125"/>
      <c r="I359" s="125"/>
    </row>
    <row r="360" spans="4:9" x14ac:dyDescent="0.25">
      <c r="D360" s="125"/>
      <c r="E360" s="125"/>
      <c r="F360" s="125"/>
      <c r="G360" s="125"/>
      <c r="H360" s="125"/>
      <c r="I360" s="125"/>
    </row>
    <row r="361" spans="4:9" x14ac:dyDescent="0.25">
      <c r="D361" s="125"/>
      <c r="E361" s="125"/>
      <c r="F361" s="125"/>
      <c r="G361" s="125"/>
      <c r="H361" s="125"/>
      <c r="I361" s="125"/>
    </row>
    <row r="362" spans="4:9" x14ac:dyDescent="0.25">
      <c r="D362" s="125"/>
      <c r="E362" s="125"/>
      <c r="F362" s="125"/>
      <c r="G362" s="125"/>
      <c r="H362" s="125"/>
      <c r="I362" s="125"/>
    </row>
  </sheetData>
  <autoFilter ref="A15:I122"/>
  <printOptions horizontalCentered="1"/>
  <pageMargins left="0.31496062992125984" right="0.70866141732283472" top="0" bottom="0.74803149606299213" header="0.31496062992125984" footer="0.31496062992125984"/>
  <pageSetup paperSize="9" scale="65" orientation="landscape" r:id="rId1"/>
  <rowBreaks count="1" manualBreakCount="1">
    <brk id="94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6</vt:i4>
      </vt:variant>
    </vt:vector>
  </HeadingPairs>
  <TitlesOfParts>
    <vt:vector size="19" baseType="lpstr">
      <vt:lpstr>anexo planofinanceiro</vt:lpstr>
      <vt:lpstr>Plano_financeiro2021</vt:lpstr>
      <vt:lpstr>MapaI</vt:lpstr>
      <vt:lpstr>MapaII</vt:lpstr>
      <vt:lpstr>MapaIII</vt:lpstr>
      <vt:lpstr>MapaVIII</vt:lpstr>
      <vt:lpstr>MapaVII</vt:lpstr>
      <vt:lpstr>MAPA IX</vt:lpstr>
      <vt:lpstr>MapaX</vt:lpstr>
      <vt:lpstr>Sheet1</vt:lpstr>
      <vt:lpstr>MapaXI</vt:lpstr>
      <vt:lpstr>Sheet2</vt:lpstr>
      <vt:lpstr>inv rubricas</vt:lpstr>
      <vt:lpstr>'MAPA IX'!Área_de_Impressão</vt:lpstr>
      <vt:lpstr>MapaI!Área_de_Impressão</vt:lpstr>
      <vt:lpstr>MapaIII!Área_de_Impressão</vt:lpstr>
      <vt:lpstr>MapaX!Área_de_Impressão</vt:lpstr>
      <vt:lpstr>MapaXI!Área_de_Impressão</vt:lpstr>
      <vt:lpstr>MapaI!Títulos_de_Impressão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CMSM / UGA - Anila Maria Correia Rodrigues</dc:creator>
  <cp:keywords/>
  <dc:description/>
  <cp:lastModifiedBy>CMSM / UGA - Anila Maria Correia Rodrigues</cp:lastModifiedBy>
  <cp:lastPrinted>2022-09-08T11:49:39Z</cp:lastPrinted>
  <dcterms:created xsi:type="dcterms:W3CDTF">2022-08-25T20:21:08Z</dcterms:created>
  <dcterms:modified xsi:type="dcterms:W3CDTF">2022-09-08T13:10:17Z</dcterms:modified>
  <cp:category/>
</cp:coreProperties>
</file>